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SST/Accidentes/"/>
    </mc:Choice>
  </mc:AlternateContent>
  <xr:revisionPtr revIDLastSave="13" documentId="11_8883EBA1C7DC5F26CFC35569E0BCDC5998523ED5" xr6:coauthVersionLast="47" xr6:coauthVersionMax="47" xr10:uidLastSave="{815A7FFA-7BD0-416C-B364-CFD0A7C7F6B5}"/>
  <bookViews>
    <workbookView xWindow="-120" yWindow="-120" windowWidth="20730" windowHeight="11160" tabRatio="841" xr2:uid="{00000000-000D-0000-FFFF-FFFF00000000}"/>
  </bookViews>
  <sheets>
    <sheet name="Ind Accidentalidad" sheetId="31" r:id="rId1"/>
    <sheet name="Consolidado" sheetId="29" r:id="rId2"/>
    <sheet name="Instructivo-Consolidado" sheetId="22" r:id="rId3"/>
    <sheet name="Analisis" sheetId="30" r:id="rId4"/>
    <sheet name="LISTAS" sheetId="2" state="hidden" r:id="rId5"/>
  </sheets>
  <externalReferences>
    <externalReference r:id="rId6"/>
    <externalReference r:id="rId7"/>
  </externalReferences>
  <definedNames>
    <definedName name="_xlnm._FilterDatabase" localSheetId="1" hidden="1">Consolidado!$A$8:$AF$13</definedName>
    <definedName name="_xlnm._FilterDatabase" localSheetId="2" hidden="1">'Instructivo-Consolidado'!$A$8:$AE$22</definedName>
    <definedName name="actossub" localSheetId="0">[1]LISTAS!$K$2:$K$19</definedName>
    <definedName name="actossub">LISTAS!$K$2:$K$16</definedName>
    <definedName name="_xlnm.Print_Area" localSheetId="3">Analisis!$A$1:$R$148</definedName>
    <definedName name="CLASIFICACIÓN" localSheetId="0">[1]LISTAS!$C$2:$C$6</definedName>
    <definedName name="CLASIFICACIÓN">LISTAS!$C$2:$C$6</definedName>
    <definedName name="CONDI">[2]Hoja2!$B$2:$B$4</definedName>
    <definedName name="CONDICIONAL" localSheetId="0">[1]LISTAS!$A$2:$A$3</definedName>
    <definedName name="CONDICIONAL">LISTAS!$A$2:$A$3</definedName>
    <definedName name="condicionessub" localSheetId="0">[1]LISTAS!$N$2:$N$17</definedName>
    <definedName name="condicionessub">LISTAS!$N$2:$N$15</definedName>
    <definedName name="CUERPO" localSheetId="0">[1]LISTAS!$E$2:$E$19</definedName>
    <definedName name="CUERPO">LISTAS!$E$2:$E$16</definedName>
    <definedName name="DIAS" localSheetId="0">[1]LISTAS!$F$2:$F$8</definedName>
    <definedName name="DIAS">LISTAS!$F$2:$F$8</definedName>
    <definedName name="ESTADO" localSheetId="0">[1]LISTAS!$G$2:$G$4</definedName>
    <definedName name="ESTADO">LISTAS!$G$2:$G$4</definedName>
    <definedName name="factoresper" localSheetId="0">[1]LISTAS!$R$2:$R$10</definedName>
    <definedName name="factoresper">LISTAS!$R$2:$R$9</definedName>
    <definedName name="factorsis" localSheetId="0">[1]LISTAS!$U$2:$U$11</definedName>
    <definedName name="factorsis">LISTAS!$U$2:$U$10</definedName>
    <definedName name="faltacontrol" localSheetId="0">[1]LISTAS!$Y$2:$Y$29</definedName>
    <definedName name="faltacontrol">LISTAS!$Y$2:$Y$26</definedName>
    <definedName name="LOCACIÓN" localSheetId="0">[1]LISTAS!$D$2:$D$12</definedName>
    <definedName name="LOCACIÓN">LISTAS!$D$2:$D$11</definedName>
    <definedName name="MES" localSheetId="0">[1]LISTAS!$I$2:$I$14</definedName>
    <definedName name="MES">LISTAS!$I$2:$I$13</definedName>
    <definedName name="PELIGRO" localSheetId="0">[1]LISTAS!$H$2:$H$14</definedName>
    <definedName name="PELIGRO">LISTAS!$H$2:$H$13</definedName>
    <definedName name="SEXO" localSheetId="0">[1]LISTAS!$B$2:$B$3</definedName>
    <definedName name="SEXO">LISTAS!$B$2:$B$3</definedName>
    <definedName name="_xlnm.Print_Titles" localSheetId="3">Analisis!$1:$5</definedName>
  </definedNames>
  <calcPr calcId="191029"/>
</workbook>
</file>

<file path=xl/calcChain.xml><?xml version="1.0" encoding="utf-8"?>
<calcChain xmlns="http://schemas.openxmlformats.org/spreadsheetml/2006/main">
  <c r="D139" i="30" l="1"/>
  <c r="D138" i="30"/>
  <c r="D137" i="30"/>
  <c r="D136" i="30"/>
  <c r="D135" i="30"/>
  <c r="D134" i="30"/>
  <c r="D133" i="30"/>
  <c r="D132" i="30"/>
  <c r="D131" i="30"/>
  <c r="D130" i="30"/>
  <c r="D129" i="30"/>
  <c r="D128" i="30"/>
  <c r="D127" i="30"/>
  <c r="D126" i="30"/>
  <c r="D125" i="30"/>
  <c r="D124" i="30"/>
  <c r="D123" i="30"/>
  <c r="D122" i="30"/>
  <c r="D121" i="30"/>
  <c r="D120" i="30"/>
  <c r="D119" i="30"/>
  <c r="D118" i="30"/>
  <c r="D117" i="30"/>
  <c r="D116" i="30"/>
  <c r="D115" i="30"/>
  <c r="D114" i="30"/>
  <c r="L105" i="30"/>
  <c r="L104" i="30"/>
  <c r="C104" i="30"/>
  <c r="L103" i="30"/>
  <c r="C103" i="30"/>
  <c r="L102" i="30"/>
  <c r="C102" i="30"/>
  <c r="L101" i="30"/>
  <c r="C101" i="30"/>
  <c r="L100" i="30"/>
  <c r="C100" i="30"/>
  <c r="L99" i="30"/>
  <c r="C99" i="30"/>
  <c r="L98" i="30"/>
  <c r="C98" i="30"/>
  <c r="L97" i="30"/>
  <c r="C97" i="30"/>
  <c r="L96" i="30"/>
  <c r="C96" i="30"/>
  <c r="C90" i="30"/>
  <c r="L89" i="30"/>
  <c r="C89" i="30"/>
  <c r="L88" i="30"/>
  <c r="C88" i="30"/>
  <c r="L87" i="30"/>
  <c r="C87" i="30"/>
  <c r="L86" i="30"/>
  <c r="C86" i="30"/>
  <c r="L85" i="30"/>
  <c r="C85" i="30"/>
  <c r="L84" i="30"/>
  <c r="C84" i="30"/>
  <c r="L83" i="30"/>
  <c r="C83" i="30"/>
  <c r="L82" i="30"/>
  <c r="C82" i="30"/>
  <c r="L81" i="30"/>
  <c r="C81" i="30"/>
  <c r="L80" i="30"/>
  <c r="C80" i="30"/>
  <c r="L79" i="30"/>
  <c r="C79" i="30"/>
  <c r="L78" i="30"/>
  <c r="C78" i="30"/>
  <c r="L77" i="30"/>
  <c r="C77" i="30"/>
  <c r="L76" i="30"/>
  <c r="C76" i="30"/>
  <c r="L75" i="30"/>
  <c r="C75" i="30"/>
  <c r="C69" i="30"/>
  <c r="C68" i="30"/>
  <c r="C67" i="30"/>
  <c r="C66" i="30"/>
  <c r="C65" i="30"/>
  <c r="L64" i="30"/>
  <c r="C64" i="30"/>
  <c r="L63" i="30"/>
  <c r="C63" i="30"/>
  <c r="L62" i="30"/>
  <c r="C62" i="30"/>
  <c r="L61" i="30"/>
  <c r="C61" i="30"/>
  <c r="L60" i="30"/>
  <c r="C60" i="30"/>
  <c r="L59" i="30"/>
  <c r="C59" i="30"/>
  <c r="L58" i="30"/>
  <c r="C58" i="30"/>
  <c r="L57" i="30"/>
  <c r="C57" i="30"/>
  <c r="L56" i="30"/>
  <c r="C56" i="30"/>
  <c r="L55" i="30"/>
  <c r="C55" i="30"/>
  <c r="L54" i="30"/>
  <c r="C54" i="30"/>
  <c r="L48" i="30"/>
  <c r="L47" i="30"/>
  <c r="L46" i="30"/>
  <c r="L45" i="30"/>
  <c r="L44" i="30"/>
  <c r="L43" i="30"/>
  <c r="L42" i="30"/>
  <c r="L41" i="30"/>
  <c r="L40" i="30"/>
  <c r="L39" i="30"/>
  <c r="L38" i="30"/>
  <c r="L37" i="30"/>
  <c r="L36" i="30"/>
  <c r="L30" i="30"/>
  <c r="L29" i="30"/>
  <c r="L28" i="30"/>
  <c r="L27" i="30"/>
  <c r="L26" i="30"/>
  <c r="L25" i="30"/>
  <c r="C25" i="30"/>
  <c r="L24" i="30"/>
  <c r="C24" i="30"/>
  <c r="L23" i="30"/>
  <c r="C23" i="30"/>
  <c r="L22" i="30"/>
  <c r="C22" i="30"/>
  <c r="L21" i="30"/>
  <c r="C21" i="30"/>
  <c r="L20" i="30"/>
  <c r="C20" i="30"/>
  <c r="L19" i="30"/>
  <c r="C19" i="30"/>
  <c r="L18" i="30"/>
  <c r="C18" i="30"/>
  <c r="L12" i="30"/>
  <c r="C12" i="30"/>
  <c r="L11" i="30"/>
  <c r="C11" i="30"/>
  <c r="L10" i="30"/>
  <c r="C10" i="30"/>
  <c r="G24" i="31"/>
  <c r="F24" i="31"/>
  <c r="E24" i="31"/>
  <c r="D24" i="31"/>
  <c r="C24" i="31"/>
  <c r="B24" i="31"/>
  <c r="N23" i="31"/>
  <c r="K23" i="31"/>
  <c r="H23" i="31"/>
  <c r="C23" i="31"/>
  <c r="O22" i="31"/>
  <c r="N22" i="31"/>
  <c r="L22" i="31"/>
  <c r="K22" i="31"/>
  <c r="I22" i="31"/>
  <c r="H22" i="31"/>
  <c r="C22" i="31"/>
  <c r="N21" i="31"/>
  <c r="K21" i="31"/>
  <c r="H21" i="31"/>
  <c r="C21" i="31"/>
  <c r="P20" i="31"/>
  <c r="O20" i="31"/>
  <c r="N20" i="31"/>
  <c r="M20" i="31"/>
  <c r="L20" i="31"/>
  <c r="K20" i="31"/>
  <c r="J20" i="31"/>
  <c r="I20" i="31"/>
  <c r="H20" i="31"/>
  <c r="C20" i="31"/>
  <c r="G14" i="31"/>
  <c r="F14" i="31"/>
  <c r="E14" i="31"/>
  <c r="D14" i="31"/>
  <c r="C14" i="31"/>
  <c r="B14" i="31"/>
  <c r="N13" i="31"/>
  <c r="K13" i="31"/>
  <c r="H13" i="31"/>
  <c r="C13" i="31"/>
  <c r="O12" i="31"/>
  <c r="N12" i="31"/>
  <c r="L12" i="31"/>
  <c r="K12" i="31"/>
  <c r="I12" i="31"/>
  <c r="H12" i="31"/>
  <c r="C12" i="31"/>
  <c r="N11" i="31"/>
  <c r="K11" i="31"/>
  <c r="H11" i="31"/>
  <c r="C11" i="31"/>
  <c r="P10" i="31"/>
  <c r="O10" i="31"/>
  <c r="N10" i="31"/>
  <c r="M10" i="31"/>
  <c r="L10" i="31"/>
  <c r="K10" i="31"/>
  <c r="J10" i="31"/>
  <c r="I10" i="31"/>
  <c r="H10" i="31"/>
  <c r="C10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iyrubiano</author>
  </authors>
  <commentList>
    <comment ref="U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iyrubiano:</t>
        </r>
        <r>
          <rPr>
            <sz val="9"/>
            <color indexed="81"/>
            <rFont val="Tahoma"/>
            <family val="2"/>
          </rPr>
          <t xml:space="preserve">
SOLO ESCOGER EL PRINCIPAL</t>
        </r>
      </text>
    </comment>
    <comment ref="V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iyrubiano:</t>
        </r>
        <r>
          <rPr>
            <sz val="9"/>
            <color indexed="81"/>
            <rFont val="Tahoma"/>
            <family val="2"/>
          </rPr>
          <t xml:space="preserve">
SOLO ESCOGER EL PRINCIPAL</t>
        </r>
      </text>
    </comment>
    <comment ref="W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iyrubiano:</t>
        </r>
        <r>
          <rPr>
            <sz val="9"/>
            <color indexed="81"/>
            <rFont val="Tahoma"/>
            <family val="2"/>
          </rPr>
          <t xml:space="preserve">
SOLO ESCOGER EL PRINCIPAL</t>
        </r>
      </text>
    </comment>
    <comment ref="X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iyrubiano:</t>
        </r>
        <r>
          <rPr>
            <sz val="9"/>
            <color indexed="81"/>
            <rFont val="Tahoma"/>
            <family val="2"/>
          </rPr>
          <t xml:space="preserve">
SOLO ESCOGER EL PRINCIPAL</t>
        </r>
      </text>
    </comment>
    <comment ref="Y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iyrubiano:</t>
        </r>
        <r>
          <rPr>
            <sz val="9"/>
            <color indexed="81"/>
            <rFont val="Tahoma"/>
            <family val="2"/>
          </rPr>
          <t xml:space="preserve">
SOLO ESCOGER EL PRINCIPAL</t>
        </r>
      </text>
    </comment>
  </commentList>
</comments>
</file>

<file path=xl/sharedStrings.xml><?xml version="1.0" encoding="utf-8"?>
<sst xmlns="http://schemas.openxmlformats.org/spreadsheetml/2006/main" count="617" uniqueCount="257">
  <si>
    <t>DIAGNOSTICO</t>
  </si>
  <si>
    <t>CASO</t>
  </si>
  <si>
    <t>FECHA DEL EVENTO</t>
  </si>
  <si>
    <t>FURAT</t>
  </si>
  <si>
    <t>INVESTIGACIÓN</t>
  </si>
  <si>
    <t>OBSERVACIONES</t>
  </si>
  <si>
    <t>SÁBADO</t>
  </si>
  <si>
    <t>SI</t>
  </si>
  <si>
    <t>NOMBRES Y APELLIDOS</t>
  </si>
  <si>
    <t>LECCIÓN APRENDIDA</t>
  </si>
  <si>
    <t>ESTADO</t>
  </si>
  <si>
    <t>DÍAS DE INCAPACIDAD</t>
  </si>
  <si>
    <t>EL REPORTE ES EXTEMPORANEO</t>
  </si>
  <si>
    <t>DÍA DE LA SEMANA DEL EVENTO</t>
  </si>
  <si>
    <t>DOCUMENTO DE IDENTIFICACIÓN</t>
  </si>
  <si>
    <t>NO</t>
  </si>
  <si>
    <t>HOMBRE</t>
  </si>
  <si>
    <t>FATALIDAD</t>
  </si>
  <si>
    <t>PERDIDA DE TIEMPO / LOST TIME</t>
  </si>
  <si>
    <t>TRABAJO RESTRINGIDO</t>
  </si>
  <si>
    <t>TRATAMIENTO MEDICO</t>
  </si>
  <si>
    <t>PRIMER AUXILIO</t>
  </si>
  <si>
    <t>ÁREAS DE PRODUCCIÓN</t>
  </si>
  <si>
    <t>ESCALERAS</t>
  </si>
  <si>
    <t>ÁREAS RECREATIVAS O DEPORTIVAS</t>
  </si>
  <si>
    <t>CORREDORES O PASILLOS</t>
  </si>
  <si>
    <t>PARQUEADEROS O ÁREAS DE CIRCULACIÓN VEHICULAR</t>
  </si>
  <si>
    <t>OTRAS ÁREAS COMUNES</t>
  </si>
  <si>
    <t>OTROS</t>
  </si>
  <si>
    <t>CARA (NO OJOS Y OÍDOS)</t>
  </si>
  <si>
    <t>CRÁNEO</t>
  </si>
  <si>
    <t>CUELLO</t>
  </si>
  <si>
    <t>GENITALES</t>
  </si>
  <si>
    <t>MANOS</t>
  </si>
  <si>
    <t>MIEMBROS INFERIORES (NO PÍES)</t>
  </si>
  <si>
    <t>MIEMBROS SUPERIORES (NO MANOS)</t>
  </si>
  <si>
    <t>MUÑECAS</t>
  </si>
  <si>
    <t>OJOS</t>
  </si>
  <si>
    <t>OÍDOS</t>
  </si>
  <si>
    <t>PÍES</t>
  </si>
  <si>
    <t>REGIÓN LUMBAR &amp; ABDOMEN</t>
  </si>
  <si>
    <t>UBICACIONES MÚLTIPLES</t>
  </si>
  <si>
    <t>CAUSAS INMEDIATAS</t>
  </si>
  <si>
    <t>CAUSAS BÁSICAS</t>
  </si>
  <si>
    <t>CIERRE PLANES DE ACCIÓN</t>
  </si>
  <si>
    <t>GENERO</t>
  </si>
  <si>
    <t>LUNES</t>
  </si>
  <si>
    <t>MARTES</t>
  </si>
  <si>
    <t>MIÉRCOLES</t>
  </si>
  <si>
    <t>JUEVES</t>
  </si>
  <si>
    <t>VIERNES</t>
  </si>
  <si>
    <t>DOMINGO</t>
  </si>
  <si>
    <t>ÓRGANOS INTERNOS</t>
  </si>
  <si>
    <t>TÓRAX, ESPALDA &amp; COSTADOS</t>
  </si>
  <si>
    <t>ALMACENES O DEPÓSITOS</t>
  </si>
  <si>
    <t>CAFETERÍA Y COMEDORES</t>
  </si>
  <si>
    <t>CERRADA</t>
  </si>
  <si>
    <t>ABIERTA</t>
  </si>
  <si>
    <t>EN PROCESO</t>
  </si>
  <si>
    <t>PARTE DEL CUERPO AFECTADA</t>
  </si>
  <si>
    <t>SEDE</t>
  </si>
  <si>
    <t>UBICACIÓN ESPECIFICA</t>
  </si>
  <si>
    <t>PELIGRO ASOCIADO AL ACCIDENTE</t>
  </si>
  <si>
    <t>Biológico</t>
  </si>
  <si>
    <t>Biomecanico - Ergonómico</t>
  </si>
  <si>
    <t>Físico</t>
  </si>
  <si>
    <t>Físico - Químico</t>
  </si>
  <si>
    <t>Locativo</t>
  </si>
  <si>
    <t xml:space="preserve">Mecánico </t>
  </si>
  <si>
    <t>Natural</t>
  </si>
  <si>
    <t>Psicosocial</t>
  </si>
  <si>
    <t>Público</t>
  </si>
  <si>
    <t>Químico</t>
  </si>
  <si>
    <t>Transito y Transporte</t>
  </si>
  <si>
    <t>DESCRIPCIÓN DEL PELIGRO</t>
  </si>
  <si>
    <t>CIUDAD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</si>
  <si>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</si>
  <si>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</si>
  <si>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</si>
  <si>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</si>
  <si>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</si>
  <si>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</si>
  <si>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</si>
  <si>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</si>
  <si>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</si>
  <si>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</si>
  <si>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</si>
  <si>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</si>
  <si>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</si>
  <si>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</t>
  </si>
  <si>
    <t>TOTAL</t>
  </si>
  <si>
    <t>MUJER</t>
  </si>
  <si>
    <t>PERIODO</t>
  </si>
  <si>
    <t>RELACIÓN DE ACCIDENTALIDAD POR GENERO</t>
  </si>
  <si>
    <t>RELACIÓN REPORTE A TIEMPO DE ACCIDENTALIDAD</t>
  </si>
  <si>
    <t>RELACIÓN ACCIDENTALIDAD POR DÍA DE LA SEMANA</t>
  </si>
  <si>
    <t>RESPONSABLE DEL ANÁLISIS</t>
  </si>
  <si>
    <t>FECHA</t>
  </si>
  <si>
    <t>DÍA</t>
  </si>
  <si>
    <t>PELIGROS</t>
  </si>
  <si>
    <t>RELACIÓN PELIGROS INHERENTES A LOS ACCIDENTES</t>
  </si>
  <si>
    <t>ENTRE 1 Y 5</t>
  </si>
  <si>
    <t>ENTRE 6 Y 10</t>
  </si>
  <si>
    <t>ENTRE 11 Y 20</t>
  </si>
  <si>
    <t>ENTRE 21 Y 30</t>
  </si>
  <si>
    <t>ENTRE 31 Y 40</t>
  </si>
  <si>
    <t>ENTRE 41 Y 50</t>
  </si>
  <si>
    <t>ENTRE 51 Y 60</t>
  </si>
  <si>
    <t>ENTRE61 Y 70</t>
  </si>
  <si>
    <t>MÁS DE 71</t>
  </si>
  <si>
    <t>PARTE DEL CUERPO</t>
  </si>
  <si>
    <t>RELACIÓN PARTE DEL CUERPO AFECTADA POR ACCIDENTE</t>
  </si>
  <si>
    <t>RELACIÓN DE DÍAS DE INCAPACIDAD POR ACCIDENTES</t>
  </si>
  <si>
    <t>FALTA DE CONTROL</t>
  </si>
  <si>
    <t>SEGUIMIENTO PARA EL CIERRE DEL CASO</t>
  </si>
  <si>
    <t>Actos y Practicas Sub estandar</t>
  </si>
  <si>
    <t>PRINCIPALES CAUSAS QUE GENERARON EL ACCIDENTE</t>
  </si>
  <si>
    <t>Condiciones Subestandar</t>
  </si>
  <si>
    <t>Factores Personales</t>
  </si>
  <si>
    <t>Trabajo / Factores de sistema</t>
  </si>
  <si>
    <t>Adecuados Para</t>
  </si>
  <si>
    <t>Operación del equipo sin autorización</t>
  </si>
  <si>
    <t>Falla en la advertencia</t>
  </si>
  <si>
    <t>Falla en asegurar</t>
  </si>
  <si>
    <t>Operación a velocidad inadecuada</t>
  </si>
  <si>
    <t>Uso de equipo defectuoso</t>
  </si>
  <si>
    <t>Cargar inadecuadamente</t>
  </si>
  <si>
    <t>Colocar inadecuadamente</t>
  </si>
  <si>
    <t>Mantenimiento del equipo en operación</t>
  </si>
  <si>
    <t>Juegos riesgosos</t>
  </si>
  <si>
    <t>Bajo influencia del alcohol / drogas</t>
  </si>
  <si>
    <t>No usar EPP</t>
  </si>
  <si>
    <t>No Aplica</t>
  </si>
  <si>
    <t>Barandas o barreras inadecuadas</t>
  </si>
  <si>
    <t>Herramientas, equipo o materiales defectuosos</t>
  </si>
  <si>
    <t>Sistema de alarma inadecuado</t>
  </si>
  <si>
    <t>Peligro de incendio o explosión</t>
  </si>
  <si>
    <t>Temperaturas extremas</t>
  </si>
  <si>
    <t>Parámetro anormal de procesos</t>
  </si>
  <si>
    <t>Desbordamiento</t>
  </si>
  <si>
    <t>Congestión o acción restringida</t>
  </si>
  <si>
    <t>Falta de aseo, desorden</t>
  </si>
  <si>
    <t>Exposición a la radiación</t>
  </si>
  <si>
    <t>Iluminación inadecuada o excesiva</t>
  </si>
  <si>
    <t>Ventilación inadecuada</t>
  </si>
  <si>
    <t>Capacidad física inadecuada</t>
  </si>
  <si>
    <t>Capacidad mental inadecuada</t>
  </si>
  <si>
    <t>Falta de conocimiento</t>
  </si>
  <si>
    <t>Falta de habilidad</t>
  </si>
  <si>
    <t>Estrés físico</t>
  </si>
  <si>
    <t>Estrés mental</t>
  </si>
  <si>
    <t>Motivación inadecuada</t>
  </si>
  <si>
    <t>Liderazgo o supervisión inadecuados</t>
  </si>
  <si>
    <t>Ingeniería inadecuada</t>
  </si>
  <si>
    <t>Compras inadecuadas</t>
  </si>
  <si>
    <t>Mantenimiento inadecuado</t>
  </si>
  <si>
    <t>Herramientas, equipo, materiales inadecuados</t>
  </si>
  <si>
    <t>Estándares inadecuados de trabajo</t>
  </si>
  <si>
    <t>Abuso o uso inadecuado</t>
  </si>
  <si>
    <t>Uso y rotura</t>
  </si>
  <si>
    <t>Liderazgo y administración</t>
  </si>
  <si>
    <t>Formación de liderazgo</t>
  </si>
  <si>
    <t>Contratación y colocación</t>
  </si>
  <si>
    <t>Observaciones de actividades</t>
  </si>
  <si>
    <t>Preparación para emergencias</t>
  </si>
  <si>
    <t>Seguridad fuera del trabajo</t>
  </si>
  <si>
    <t>Análisis de accidentes / incidentes /impactos</t>
  </si>
  <si>
    <t>Aspectos e impactos ambientales</t>
  </si>
  <si>
    <t>Investigación de accidentes / incidentes  /impactos</t>
  </si>
  <si>
    <t>Equipo de protección personal</t>
  </si>
  <si>
    <t>Evaluación del sistema</t>
  </si>
  <si>
    <t>Análisis critico de actividades</t>
  </si>
  <si>
    <t>Comunicaciones personales</t>
  </si>
  <si>
    <t>Reglas y permisos de trabajo</t>
  </si>
  <si>
    <t>Programa medio ambiental</t>
  </si>
  <si>
    <t>Conocimientos y capacitación técnica</t>
  </si>
  <si>
    <t>Inspecciones y mantenimiento planificados</t>
  </si>
  <si>
    <t>Monitoreo y evaluación del rendimiento</t>
  </si>
  <si>
    <t>Control de salud e higiene</t>
  </si>
  <si>
    <t>Promoción general</t>
  </si>
  <si>
    <t>Ingeniería /gestión de cambios</t>
  </si>
  <si>
    <t>Comunicaciones grupales</t>
  </si>
  <si>
    <t>Gestión de materiales y servicio</t>
  </si>
  <si>
    <t>Relaciones con externos</t>
  </si>
  <si>
    <t>Eléctrico</t>
  </si>
  <si>
    <t>Hacer inoperables los dispositivos de seguridad</t>
  </si>
  <si>
    <t>Equipo inadecuado o incorrecto</t>
  </si>
  <si>
    <t>Elevación de carga inadecuada</t>
  </si>
  <si>
    <t>Posición inadecuada para realizar la actividad</t>
  </si>
  <si>
    <t>FACTORES PERSONALES</t>
  </si>
  <si>
    <t>CAUSAS BÁSICAS, FACTORES PERSONALES</t>
  </si>
  <si>
    <t>CAUSAS BÁSICAS, TRABAJO / FACTORES DE SISTEMA</t>
  </si>
  <si>
    <t>TRABAJO / FACTORES DE SISTEMA</t>
  </si>
  <si>
    <t>FALTA DE CONTROLES ADECUADOS PARA LA ACTIVIDAD</t>
  </si>
  <si>
    <t>OFICINAS</t>
  </si>
  <si>
    <t>COSTOS DEL ACCIDENTE</t>
  </si>
  <si>
    <t>RELACIÓN COSTOS</t>
  </si>
  <si>
    <t>BREVE DESCRIPCIÓN DEL AT (FURAT)</t>
  </si>
  <si>
    <t>RELACIÓN ACCIDENTALIDAD POR MES DE OCURRENCIA</t>
  </si>
  <si>
    <t>Código:</t>
  </si>
  <si>
    <t>Versión:</t>
  </si>
  <si>
    <t xml:space="preserve"> Calificación de la información:</t>
  </si>
  <si>
    <t>Pública</t>
  </si>
  <si>
    <t>-</t>
  </si>
  <si>
    <t>¿FUE DEROGADO?</t>
  </si>
  <si>
    <t>Consecutivo del caso</t>
  </si>
  <si>
    <t xml:space="preserve">Nombres y apellidos de la persona que reportó el evento </t>
  </si>
  <si>
    <t>Número de identificación de la persona quien reportó el evento</t>
  </si>
  <si>
    <t>dd-mm-aaaa de ocurrencia del evento</t>
  </si>
  <si>
    <t>En caso afirmativo la persona que reporta debe remitir documento escrito con justificación de la extemporaniedad</t>
  </si>
  <si>
    <t xml:space="preserve">Escribir la ciudad donde ocurrió el evento </t>
  </si>
  <si>
    <t>Describir si fue en sede de la Comisión, aliado estrategico o en áreas públicas</t>
  </si>
  <si>
    <t>Desplegar el listado y seleccionar el tipo de evento ocurrido, el día en que ocurrió y el mes</t>
  </si>
  <si>
    <t xml:space="preserve">Descripción especifica del peligro que se materializó </t>
  </si>
  <si>
    <t>Desplegar los listados para especificar el lugar donde ocurrio el evento y el peligro asociado al evento</t>
  </si>
  <si>
    <t>CIE 10 descrito en la incpacidad o información proporcionada por el médico en caso de no contar con incapacidad</t>
  </si>
  <si>
    <t>Días acumulados de incapacidad por el evento, desde la inicial más las prorrogas</t>
  </si>
  <si>
    <t>Valor en números del total de costos que se requirieron para tratar el evento</t>
  </si>
  <si>
    <t>Descripción de las causas por las cuales se efectuaron los costos del evento</t>
  </si>
  <si>
    <t>Esta información solo la puede definir la ARL o entes oficiales en caso de aplicar</t>
  </si>
  <si>
    <t>Desgloce de: qué y cómo ocurrió el evento</t>
  </si>
  <si>
    <t>Desplegar los listados para especificarlas causas u originaron el evento</t>
  </si>
  <si>
    <t>Describir aspectos a considerar que no han sido tenidos en cuenta en la base de datos para la rpevención de accidentes de trabajo</t>
  </si>
  <si>
    <t>F2.G4.TH</t>
  </si>
  <si>
    <r>
      <rPr>
        <sz val="10"/>
        <color theme="1"/>
        <rFont val="Arial"/>
        <family val="2"/>
      </rPr>
      <t>MATRIZ CONSOLIDADO DE ACCIDENTALIDAD</t>
    </r>
    <r>
      <rPr>
        <sz val="8"/>
        <color theme="1"/>
        <rFont val="Arial"/>
        <family val="2"/>
      </rPr>
      <t xml:space="preserve">
Proceso de Gestión del Talento Humano</t>
    </r>
  </si>
  <si>
    <r>
      <rPr>
        <sz val="10"/>
        <color theme="1"/>
        <rFont val="Arial"/>
        <family val="2"/>
      </rPr>
      <t>ANÁLISIS TENDENCIAL DE ACCIDENTALIDAD</t>
    </r>
    <r>
      <rPr>
        <sz val="8"/>
        <color theme="1"/>
        <rFont val="Arial"/>
        <family val="2"/>
      </rPr>
      <t xml:space="preserve">
Proceso de Gestión del Talento Humano</t>
    </r>
  </si>
  <si>
    <t>Ingrid Yezenia Rubiano Sierra</t>
  </si>
  <si>
    <t>Biomecánico - Ergonómico</t>
  </si>
  <si>
    <t>CAUSAS INMEDIATAS , ACTOS Y PRACTICAS SUBESTÁNDAR</t>
  </si>
  <si>
    <t>CAUSAS INMEDIATAS , CONDICIONES SUBESTÁNDAR</t>
  </si>
  <si>
    <t>ACTOS Y PRACTICAS SUBESTÁNDAR</t>
  </si>
  <si>
    <t>CONDICIONES SUBESTÁNDAR</t>
  </si>
  <si>
    <t>ANÁLISIS</t>
  </si>
  <si>
    <t>EXTEMPORÁNEO</t>
  </si>
  <si>
    <t>EL REPORTE ES EXTEMPORÁNEO</t>
  </si>
  <si>
    <t>Actos y Practicas Sub estándar</t>
  </si>
  <si>
    <t>Condiciones Subestándar</t>
  </si>
  <si>
    <t>Primer trimestre de 2022</t>
  </si>
  <si>
    <t>Segundo trimestre de 2022</t>
  </si>
  <si>
    <t>Tercero trimestre de 2022</t>
  </si>
  <si>
    <t>Cuarto trimestre de 2022</t>
  </si>
  <si>
    <t>El análisis de casos se realiza en el cierre del primer semestre de 2022, lo anterior dado a que el primer evento se reportó e oinvestigó de manera extemporanea y requirió de actividades para la consolidación y validación de información.
De los dos eventos el ocurrido en el mes de febrero generó mayor trascendencia dada la afectación psicologica y cobertura en medios dado el robo de elementos y el riesgo eminente de perdida de información, porpi de las investigaciones y entrevistas de comparecientes, requeridas para el desarrollo del informe final de gestión de la Comisión de la Verdad</t>
  </si>
  <si>
    <t>TIPO DE CONTRATO</t>
  </si>
  <si>
    <t>PROPORCIÓN DE ACCIDENTES DE TRABAJO MORTALES</t>
  </si>
  <si>
    <t>SEVERIDAD DE ACCIDENTALIDAD</t>
  </si>
  <si>
    <t>FRECUENCIA DE ACCIDENTALIDAD</t>
  </si>
  <si>
    <t>ACCIDENTES MORTALES</t>
  </si>
  <si>
    <t>POBLACIÓN</t>
  </si>
  <si>
    <t>INDICADORES DE ACCIDENTES POR PERIODOS</t>
  </si>
  <si>
    <t>DÍAS CARGADOS</t>
  </si>
  <si>
    <t>DÍAS PERDIDOS POR AT</t>
  </si>
  <si>
    <t>ACCIDENTES DE TRABAJO</t>
  </si>
  <si>
    <t>HHW</t>
  </si>
  <si>
    <r>
      <rPr>
        <sz val="10"/>
        <color theme="1"/>
        <rFont val="Arial"/>
        <family val="2"/>
      </rPr>
      <t>CONSOLIDADO DE INDICADORES DE ACCIDENTALIDAD</t>
    </r>
    <r>
      <rPr>
        <sz val="8"/>
        <color theme="1"/>
        <rFont val="Arial"/>
        <family val="2"/>
      </rPr>
      <t xml:space="preserve">
Proceso de Gestión del Talento Humano</t>
    </r>
  </si>
  <si>
    <t>EVENTOS A PERSONAL CONTRATADO POR LA COMISIÓN DE LA VERDAD</t>
  </si>
  <si>
    <t>EVENTOS A PERSONAL CONTRATADO POR EMPRESAS DE SERVICIOS TEMPORALES</t>
  </si>
  <si>
    <t>Fecha Aprobación: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</si>
</sst>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 * #,##0.00_ ;_ * \-#,##0.00_ ;_ * &quot;-&quot;??_ ;_ @_ "/>
    <numFmt numFmtId="167" formatCode="0.0000"/>
    <numFmt numFmtId="168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5" fontId="16" fillId="0" borderId="1" xfId="4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6" fillId="0" borderId="1" xfId="4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/>
    <xf numFmtId="1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4" fontId="13" fillId="0" borderId="0" xfId="0" applyNumberFormat="1" applyFont="1" applyAlignment="1">
      <alignment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42" fontId="0" fillId="0" borderId="1" xfId="10" applyFont="1" applyBorder="1" applyAlignment="1">
      <alignment horizontal="center" vertical="center" wrapText="1"/>
    </xf>
    <xf numFmtId="165" fontId="0" fillId="0" borderId="1" xfId="4" applyNumberFormat="1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18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17" fillId="0" borderId="0" xfId="0" applyNumberFormat="1" applyFont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168" fontId="12" fillId="0" borderId="27" xfId="0" applyNumberFormat="1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2" fillId="5" borderId="3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/>
    </xf>
    <xf numFmtId="168" fontId="12" fillId="0" borderId="34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0" fontId="12" fillId="6" borderId="18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 vertical="center" wrapText="1"/>
    </xf>
    <xf numFmtId="1" fontId="21" fillId="5" borderId="23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167" fontId="4" fillId="0" borderId="33" xfId="0" applyNumberFormat="1" applyFont="1" applyBorder="1" applyAlignment="1">
      <alignment horizontal="center" vertical="center" wrapText="1"/>
    </xf>
    <xf numFmtId="167" fontId="4" fillId="0" borderId="26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9" fontId="4" fillId="0" borderId="33" xfId="11" applyFont="1" applyFill="1" applyBorder="1" applyAlignment="1">
      <alignment horizontal="center" vertical="center" wrapText="1"/>
    </xf>
    <xf numFmtId="9" fontId="4" fillId="0" borderId="26" xfId="11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9" fontId="4" fillId="5" borderId="31" xfId="11" applyFont="1" applyFill="1" applyBorder="1" applyAlignment="1">
      <alignment horizontal="center" vertical="center" wrapText="1"/>
    </xf>
    <xf numFmtId="9" fontId="4" fillId="5" borderId="14" xfId="11" applyFont="1" applyFill="1" applyBorder="1" applyAlignment="1">
      <alignment horizontal="center" vertical="center" wrapText="1"/>
    </xf>
    <xf numFmtId="9" fontId="4" fillId="0" borderId="31" xfId="11" applyFont="1" applyFill="1" applyBorder="1" applyAlignment="1">
      <alignment horizontal="center" vertical="center" wrapText="1"/>
    </xf>
    <xf numFmtId="9" fontId="4" fillId="0" borderId="14" xfId="1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2">
    <cellStyle name="Hipervínculo 2" xfId="1" xr:uid="{00000000-0005-0000-0000-000000000000}"/>
    <cellStyle name="Hipervínculo 3" xfId="2" xr:uid="{00000000-0005-0000-0000-000001000000}"/>
    <cellStyle name="Millares 4 2" xfId="3" xr:uid="{00000000-0005-0000-0000-000002000000}"/>
    <cellStyle name="Moneda" xfId="4" builtinId="4"/>
    <cellStyle name="Moneda [0]" xfId="10" builtinId="7"/>
    <cellStyle name="Normal" xfId="0" builtinId="0"/>
    <cellStyle name="Normal 17 2 2" xfId="5" xr:uid="{00000000-0005-0000-0000-000006000000}"/>
    <cellStyle name="Normal 31" xfId="6" xr:uid="{00000000-0005-0000-0000-000007000000}"/>
    <cellStyle name="Normal 81" xfId="7" xr:uid="{00000000-0005-0000-0000-000008000000}"/>
    <cellStyle name="Normal 81 2" xfId="8" xr:uid="{00000000-0005-0000-0000-000009000000}"/>
    <cellStyle name="Normal 84" xfId="9" xr:uid="{00000000-0005-0000-0000-00000A000000}"/>
    <cellStyle name="Porcentaje" xfId="11" builtinId="5"/>
  </cellStyles>
  <dxfs count="218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RELACIÓN ACCIDENTALIDAD POR GENERO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Analisis!$C$9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Analisis!$B$10:$B$11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Analisis!$C$10:$C$11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0-4E45-828B-F58390D8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17792"/>
        <c:axId val="256304512"/>
      </c:barChart>
      <c:catAx>
        <c:axId val="2559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4512"/>
        <c:crosses val="autoZero"/>
        <c:auto val="1"/>
        <c:lblAlgn val="ctr"/>
        <c:lblOffset val="100"/>
        <c:noMultiLvlLbl val="0"/>
      </c:catAx>
      <c:valAx>
        <c:axId val="25630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5917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PRINCIPALES CONDICIONES SUBESTÁNDAR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Analisis!$L$74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Analisis!$K$75:$K$88</c:f>
              <c:strCache>
                <c:ptCount val="14"/>
                <c:pt idx="0">
                  <c:v>Barandas o barreras inadecuadas</c:v>
                </c:pt>
                <c:pt idx="1">
                  <c:v>Herramientas, equipo o materiales defectuosos</c:v>
                </c:pt>
                <c:pt idx="2">
                  <c:v>Sistema de alarma inadecuado</c:v>
                </c:pt>
                <c:pt idx="3">
                  <c:v>Peligro de incendio o explosión</c:v>
                </c:pt>
                <c:pt idx="4">
                  <c:v>Temperaturas extremas</c:v>
                </c:pt>
                <c:pt idx="5">
                  <c:v>Parámetro anormal de procesos</c:v>
                </c:pt>
                <c:pt idx="6">
                  <c:v>Desbordamiento</c:v>
                </c:pt>
                <c:pt idx="7">
                  <c:v>Equipo inadecuado o incorrecto</c:v>
                </c:pt>
                <c:pt idx="8">
                  <c:v>Congestión o acción restringida</c:v>
                </c:pt>
                <c:pt idx="9">
                  <c:v>Falta de aseo, desorden</c:v>
                </c:pt>
                <c:pt idx="10">
                  <c:v>Exposición a la radiación</c:v>
                </c:pt>
                <c:pt idx="11">
                  <c:v>Iluminación inadecuada o excesiva</c:v>
                </c:pt>
                <c:pt idx="12">
                  <c:v>Ventilación inadecuada</c:v>
                </c:pt>
                <c:pt idx="13">
                  <c:v>No Aplica</c:v>
                </c:pt>
              </c:strCache>
            </c:strRef>
          </c:cat>
          <c:val>
            <c:numRef>
              <c:f>Analisis!$L$75:$L$88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C-4BFC-A813-563F36EDB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61216"/>
        <c:axId val="256858472"/>
      </c:barChart>
      <c:catAx>
        <c:axId val="25686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58472"/>
        <c:crosses val="autoZero"/>
        <c:auto val="1"/>
        <c:lblAlgn val="ctr"/>
        <c:lblOffset val="100"/>
        <c:noMultiLvlLbl val="0"/>
      </c:catAx>
      <c:valAx>
        <c:axId val="256858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61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PRINCIPALES  FACTORES PERSONALES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Analisis!$C$95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Analisis!$B$96:$B$103</c:f>
              <c:strCache>
                <c:ptCount val="8"/>
                <c:pt idx="0">
                  <c:v>Capacidad física inadecuada</c:v>
                </c:pt>
                <c:pt idx="1">
                  <c:v>Capacidad mental inadecuada</c:v>
                </c:pt>
                <c:pt idx="2">
                  <c:v>Falta de conocimiento</c:v>
                </c:pt>
                <c:pt idx="3">
                  <c:v>Falta de habilidad</c:v>
                </c:pt>
                <c:pt idx="4">
                  <c:v>Estrés físico</c:v>
                </c:pt>
                <c:pt idx="5">
                  <c:v>Estrés mental</c:v>
                </c:pt>
                <c:pt idx="6">
                  <c:v>Motivación inadecuada</c:v>
                </c:pt>
                <c:pt idx="7">
                  <c:v>No Aplica</c:v>
                </c:pt>
              </c:strCache>
            </c:strRef>
          </c:cat>
          <c:val>
            <c:numRef>
              <c:f>Analisis!$C$96:$C$103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2-4A9E-BCC6-9C42C9C1E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56120"/>
        <c:axId val="256862392"/>
      </c:barChart>
      <c:catAx>
        <c:axId val="256856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62392"/>
        <c:crosses val="autoZero"/>
        <c:auto val="1"/>
        <c:lblAlgn val="ctr"/>
        <c:lblOffset val="100"/>
        <c:noMultiLvlLbl val="0"/>
      </c:catAx>
      <c:valAx>
        <c:axId val="256862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56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PRINCIPALES FACTORES TRABAJO / FACTORES DE SISTEMA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Analisis!$L$95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Analisis!$K$96:$K$104</c:f>
              <c:strCache>
                <c:ptCount val="9"/>
                <c:pt idx="0">
                  <c:v>Liderazgo o supervisión inadecuados</c:v>
                </c:pt>
                <c:pt idx="1">
                  <c:v>Ingeniería inadecuada</c:v>
                </c:pt>
                <c:pt idx="2">
                  <c:v>Compras inadecuadas</c:v>
                </c:pt>
                <c:pt idx="3">
                  <c:v>Mantenimiento inadecuado</c:v>
                </c:pt>
                <c:pt idx="4">
                  <c:v>Herramientas, equipo, materiales inadecuados</c:v>
                </c:pt>
                <c:pt idx="5">
                  <c:v>Estándares inadecuados de trabajo</c:v>
                </c:pt>
                <c:pt idx="6">
                  <c:v>Abuso o uso inadecuado</c:v>
                </c:pt>
                <c:pt idx="7">
                  <c:v>Uso y rotura</c:v>
                </c:pt>
                <c:pt idx="8">
                  <c:v>No Aplica</c:v>
                </c:pt>
              </c:strCache>
            </c:strRef>
          </c:cat>
          <c:val>
            <c:numRef>
              <c:f>Analisis!$L$96:$L$104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B-471D-BCD2-A08C4BBB5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56512"/>
        <c:axId val="256862784"/>
      </c:barChart>
      <c:catAx>
        <c:axId val="25685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62784"/>
        <c:crosses val="autoZero"/>
        <c:auto val="1"/>
        <c:lblAlgn val="ctr"/>
        <c:lblOffset val="100"/>
        <c:noMultiLvlLbl val="0"/>
      </c:catAx>
      <c:valAx>
        <c:axId val="25686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56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PRINCIPALES FACTORES EN FALTA DE CONTROLES ADECUADOS PARA LA ACTIVIDAD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Analisis!$B$114:$B$138</c:f>
              <c:strCache>
                <c:ptCount val="25"/>
                <c:pt idx="0">
                  <c:v>Liderazgo y administración</c:v>
                </c:pt>
                <c:pt idx="1">
                  <c:v>Formación de liderazgo</c:v>
                </c:pt>
                <c:pt idx="2">
                  <c:v>Contratación y colocación</c:v>
                </c:pt>
                <c:pt idx="3">
                  <c:v>Observaciones de actividades</c:v>
                </c:pt>
                <c:pt idx="4">
                  <c:v>Preparación para emergencias</c:v>
                </c:pt>
                <c:pt idx="5">
                  <c:v>Seguridad fuera del trabajo</c:v>
                </c:pt>
                <c:pt idx="6">
                  <c:v>Análisis de accidentes / incidentes /impactos</c:v>
                </c:pt>
                <c:pt idx="7">
                  <c:v>Aspectos e impactos ambientales</c:v>
                </c:pt>
                <c:pt idx="8">
                  <c:v>Investigación de accidentes / incidentes  /impactos</c:v>
                </c:pt>
                <c:pt idx="9">
                  <c:v>Equipo de protección personal</c:v>
                </c:pt>
                <c:pt idx="10">
                  <c:v>Evaluación del sistema</c:v>
                </c:pt>
                <c:pt idx="11">
                  <c:v>Análisis critico de actividades</c:v>
                </c:pt>
                <c:pt idx="12">
                  <c:v>Comunicaciones personales</c:v>
                </c:pt>
                <c:pt idx="13">
                  <c:v>Reglas y permisos de trabajo</c:v>
                </c:pt>
                <c:pt idx="14">
                  <c:v>Programa medio ambiental</c:v>
                </c:pt>
                <c:pt idx="15">
                  <c:v>Conocimientos y capacitación técnica</c:v>
                </c:pt>
                <c:pt idx="16">
                  <c:v>Inspecciones y mantenimiento planificados</c:v>
                </c:pt>
                <c:pt idx="17">
                  <c:v>Monitoreo y evaluación del rendimiento</c:v>
                </c:pt>
                <c:pt idx="18">
                  <c:v>Control de salud e higiene</c:v>
                </c:pt>
                <c:pt idx="19">
                  <c:v>Promoción general</c:v>
                </c:pt>
                <c:pt idx="20">
                  <c:v>Ingeniería /gestión de cambios</c:v>
                </c:pt>
                <c:pt idx="21">
                  <c:v>Comunicaciones grupales</c:v>
                </c:pt>
                <c:pt idx="22">
                  <c:v>Gestión de materiales y servicio</c:v>
                </c:pt>
                <c:pt idx="23">
                  <c:v>Relaciones con externos</c:v>
                </c:pt>
                <c:pt idx="24">
                  <c:v>No Aplica</c:v>
                </c:pt>
              </c:strCache>
            </c:strRef>
          </c:cat>
          <c:val>
            <c:numRef>
              <c:f>Analisis!$D$114:$D$138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D-401F-B309-17B60729D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61608"/>
        <c:axId val="256859648"/>
      </c:barChart>
      <c:catAx>
        <c:axId val="25686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59648"/>
        <c:crosses val="autoZero"/>
        <c:auto val="1"/>
        <c:lblAlgn val="ctr"/>
        <c:lblOffset val="100"/>
        <c:noMultiLvlLbl val="0"/>
      </c:catAx>
      <c:valAx>
        <c:axId val="25685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61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EXTEMPORANEIDAD DE REPORTES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Analisis!$L$9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Analisis!$K$10:$K$11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Analisis!$L$10:$L$11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5-4F95-BFD0-DF892494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04120"/>
        <c:axId val="256305688"/>
      </c:barChart>
      <c:catAx>
        <c:axId val="25630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5688"/>
        <c:crosses val="autoZero"/>
        <c:auto val="1"/>
        <c:lblAlgn val="ctr"/>
        <c:lblOffset val="100"/>
        <c:noMultiLvlLbl val="0"/>
      </c:catAx>
      <c:valAx>
        <c:axId val="256305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4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RELACIÓN ACCIDENTALIDAD POR GENERO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DF6-488E-9D7F-A2335571A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06080"/>
        <c:axId val="256304904"/>
      </c:barChart>
      <c:catAx>
        <c:axId val="2563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4904"/>
        <c:crosses val="autoZero"/>
        <c:auto val="1"/>
        <c:lblAlgn val="ctr"/>
        <c:lblOffset val="100"/>
        <c:noMultiLvlLbl val="0"/>
      </c:catAx>
      <c:valAx>
        <c:axId val="256304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6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RELACIÓN ACCIDENTALIDAD POR DÍA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Analisis!$C$17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Analisis!$B$18:$B$24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Analisis!$C$18:$C$24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9-47CA-9579-E1B266510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00592"/>
        <c:axId val="256300984"/>
      </c:barChart>
      <c:catAx>
        <c:axId val="25630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0984"/>
        <c:crosses val="autoZero"/>
        <c:auto val="1"/>
        <c:lblAlgn val="ctr"/>
        <c:lblOffset val="100"/>
        <c:noMultiLvlLbl val="0"/>
      </c:catAx>
      <c:valAx>
        <c:axId val="256300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0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RELACIÓN DE ACCIDENTALIDAD POR MES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Analisis!$L$17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Analisis!$K$18:$K$29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Analisis!$L$18:$L$29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D-4DFA-A8B6-04A652577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00200"/>
        <c:axId val="256303336"/>
      </c:barChart>
      <c:catAx>
        <c:axId val="25630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3336"/>
        <c:crosses val="autoZero"/>
        <c:auto val="1"/>
        <c:lblAlgn val="ctr"/>
        <c:lblOffset val="100"/>
        <c:noMultiLvlLbl val="0"/>
      </c:catAx>
      <c:valAx>
        <c:axId val="256303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0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RELACIÓN PELIGROS INHERENTES A LOS ACCIDENTES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Analisis!$L$35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Analisis!$K$36:$K$47</c:f>
              <c:strCache>
                <c:ptCount val="12"/>
                <c:pt idx="0">
                  <c:v>Biológico</c:v>
                </c:pt>
                <c:pt idx="1">
                  <c:v>Biomecánico - Ergonómico</c:v>
                </c:pt>
                <c:pt idx="2">
                  <c:v>Eléctrico</c:v>
                </c:pt>
                <c:pt idx="3">
                  <c:v>Físico</c:v>
                </c:pt>
                <c:pt idx="4">
                  <c:v>Físico - Químico</c:v>
                </c:pt>
                <c:pt idx="5">
                  <c:v>Locativo</c:v>
                </c:pt>
                <c:pt idx="6">
                  <c:v>Mecánico </c:v>
                </c:pt>
                <c:pt idx="7">
                  <c:v>Natural</c:v>
                </c:pt>
                <c:pt idx="8">
                  <c:v>Psicosocial</c:v>
                </c:pt>
                <c:pt idx="9">
                  <c:v>Público</c:v>
                </c:pt>
                <c:pt idx="10">
                  <c:v>Químico</c:v>
                </c:pt>
                <c:pt idx="11">
                  <c:v>Transito y Transporte</c:v>
                </c:pt>
              </c:strCache>
            </c:strRef>
          </c:cat>
          <c:val>
            <c:numRef>
              <c:f>Analisis!$L$36:$L$47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4-4F56-89A6-AA2E19E22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01768"/>
        <c:axId val="256302160"/>
      </c:barChart>
      <c:catAx>
        <c:axId val="256301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2160"/>
        <c:crosses val="autoZero"/>
        <c:auto val="1"/>
        <c:lblAlgn val="ctr"/>
        <c:lblOffset val="100"/>
        <c:noMultiLvlLbl val="0"/>
      </c:catAx>
      <c:valAx>
        <c:axId val="25630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3017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RELACIÓN PARTE DEL CUERPO AFECTADA POR ACCIDENTE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Analisis!$C$53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Analisis!$B$54:$B$68</c:f>
              <c:strCache>
                <c:ptCount val="15"/>
                <c:pt idx="0">
                  <c:v>CARA (NO OJOS Y OÍDOS)</c:v>
                </c:pt>
                <c:pt idx="1">
                  <c:v>CRÁNEO</c:v>
                </c:pt>
                <c:pt idx="2">
                  <c:v>CUELLO</c:v>
                </c:pt>
                <c:pt idx="3">
                  <c:v>GENITALES</c:v>
                </c:pt>
                <c:pt idx="4">
                  <c:v>MANOS</c:v>
                </c:pt>
                <c:pt idx="5">
                  <c:v>MIEMBROS INFERIORES (NO PÍES)</c:v>
                </c:pt>
                <c:pt idx="6">
                  <c:v>MIEMBROS SUPERIORES (NO MANOS)</c:v>
                </c:pt>
                <c:pt idx="7">
                  <c:v>MUÑECAS</c:v>
                </c:pt>
                <c:pt idx="8">
                  <c:v>OJOS</c:v>
                </c:pt>
                <c:pt idx="9">
                  <c:v>OÍDOS</c:v>
                </c:pt>
                <c:pt idx="10">
                  <c:v>ÓRGANOS INTERNOS</c:v>
                </c:pt>
                <c:pt idx="11">
                  <c:v>PÍES</c:v>
                </c:pt>
                <c:pt idx="12">
                  <c:v>REGIÓN LUMBAR &amp; ABDOMEN</c:v>
                </c:pt>
                <c:pt idx="13">
                  <c:v>TÓRAX, ESPALDA &amp; COSTADOS</c:v>
                </c:pt>
                <c:pt idx="14">
                  <c:v>UBICACIONES MÚLTIPLES</c:v>
                </c:pt>
              </c:strCache>
            </c:strRef>
          </c:cat>
          <c:val>
            <c:numRef>
              <c:f>Analisis!$C$54:$C$68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8-4F49-82E0-A9798D1E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18184"/>
        <c:axId val="255917008"/>
      </c:barChart>
      <c:catAx>
        <c:axId val="25591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5917008"/>
        <c:crosses val="autoZero"/>
        <c:auto val="1"/>
        <c:lblAlgn val="ctr"/>
        <c:lblOffset val="100"/>
        <c:noMultiLvlLbl val="0"/>
      </c:catAx>
      <c:valAx>
        <c:axId val="25591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5918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INCAPACIDAD POR ACCIDENTES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Analisis!$L$53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Analisis!$K$54:$K$63</c:f>
              <c:strCache>
                <c:ptCount val="10"/>
                <c:pt idx="0">
                  <c:v>0</c:v>
                </c:pt>
                <c:pt idx="1">
                  <c:v>ENTRE 1 Y 5</c:v>
                </c:pt>
                <c:pt idx="2">
                  <c:v>ENTRE 6 Y 10</c:v>
                </c:pt>
                <c:pt idx="3">
                  <c:v>ENTRE 11 Y 20</c:v>
                </c:pt>
                <c:pt idx="4">
                  <c:v>ENTRE 21 Y 30</c:v>
                </c:pt>
                <c:pt idx="5">
                  <c:v>ENTRE 31 Y 40</c:v>
                </c:pt>
                <c:pt idx="6">
                  <c:v>ENTRE 41 Y 50</c:v>
                </c:pt>
                <c:pt idx="7">
                  <c:v>ENTRE 51 Y 60</c:v>
                </c:pt>
                <c:pt idx="8">
                  <c:v>ENTRE61 Y 70</c:v>
                </c:pt>
                <c:pt idx="9">
                  <c:v>MÁS DE 71</c:v>
                </c:pt>
              </c:strCache>
            </c:strRef>
          </c:cat>
          <c:val>
            <c:numRef>
              <c:f>Analisis!$L$54:$L$63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F-4CEF-9484-B1653F635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15440"/>
        <c:axId val="255915832"/>
      </c:barChart>
      <c:catAx>
        <c:axId val="25591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5915832"/>
        <c:crosses val="autoZero"/>
        <c:auto val="1"/>
        <c:lblAlgn val="ctr"/>
        <c:lblOffset val="100"/>
        <c:noMultiLvlLbl val="0"/>
      </c:catAx>
      <c:valAx>
        <c:axId val="255915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5915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PRINCIPALES ACTOS Y PRACTICAS SUBESTÁNDAR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Analisis!$B$75:$B$89</c:f>
              <c:strCache>
                <c:ptCount val="15"/>
                <c:pt idx="0">
                  <c:v>Operación del equipo sin autorización</c:v>
                </c:pt>
                <c:pt idx="1">
                  <c:v>Falla en la advertencia</c:v>
                </c:pt>
                <c:pt idx="2">
                  <c:v>Falla en asegurar</c:v>
                </c:pt>
                <c:pt idx="3">
                  <c:v>Operación a velocidad inadecuada</c:v>
                </c:pt>
                <c:pt idx="4">
                  <c:v>Hacer inoperables los dispositivos de seguridad</c:v>
                </c:pt>
                <c:pt idx="5">
                  <c:v>Uso de equipo defectuoso</c:v>
                </c:pt>
                <c:pt idx="6">
                  <c:v>Cargar inadecuadamente</c:v>
                </c:pt>
                <c:pt idx="7">
                  <c:v>Colocar inadecuadamente</c:v>
                </c:pt>
                <c:pt idx="8">
                  <c:v>Elevación de carga inadecuada</c:v>
                </c:pt>
                <c:pt idx="9">
                  <c:v>Mantenimiento del equipo en operación</c:v>
                </c:pt>
                <c:pt idx="10">
                  <c:v>Juegos riesgosos</c:v>
                </c:pt>
                <c:pt idx="11">
                  <c:v>Bajo influencia del alcohol / drogas</c:v>
                </c:pt>
                <c:pt idx="12">
                  <c:v>No usar EPP</c:v>
                </c:pt>
                <c:pt idx="13">
                  <c:v>Posición inadecuada para realizar la actividad</c:v>
                </c:pt>
                <c:pt idx="14">
                  <c:v>No Aplica</c:v>
                </c:pt>
              </c:strCache>
            </c:strRef>
          </c:cat>
          <c:val>
            <c:numRef>
              <c:f>Analisis!$C$75:$C$89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E-48EC-9AEB-9FB024F8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58864"/>
        <c:axId val="256862000"/>
      </c:barChart>
      <c:catAx>
        <c:axId val="25685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62000"/>
        <c:crosses val="autoZero"/>
        <c:auto val="1"/>
        <c:lblAlgn val="ctr"/>
        <c:lblOffset val="100"/>
        <c:noMultiLvlLbl val="0"/>
      </c:catAx>
      <c:valAx>
        <c:axId val="25686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6858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84667</xdr:rowOff>
    </xdr:from>
    <xdr:to>
      <xdr:col>2</xdr:col>
      <xdr:colOff>445323</xdr:colOff>
      <xdr:row>3</xdr:row>
      <xdr:rowOff>48948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84667"/>
          <a:ext cx="2191573" cy="694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369094</xdr:colOff>
      <xdr:row>3</xdr:row>
      <xdr:rowOff>116681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4" y="142875"/>
          <a:ext cx="1774031" cy="402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391583</xdr:colOff>
      <xdr:row>1</xdr:row>
      <xdr:rowOff>52917</xdr:rowOff>
    </xdr:from>
    <xdr:to>
      <xdr:col>2</xdr:col>
      <xdr:colOff>31750</xdr:colOff>
      <xdr:row>4</xdr:row>
      <xdr:rowOff>26723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83" y="201084"/>
          <a:ext cx="1545167" cy="418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</xdr:row>
      <xdr:rowOff>171450</xdr:rowOff>
    </xdr:from>
    <xdr:to>
      <xdr:col>8</xdr:col>
      <xdr:colOff>171450</xdr:colOff>
      <xdr:row>11</xdr:row>
      <xdr:rowOff>552450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8</xdr:row>
      <xdr:rowOff>0</xdr:rowOff>
    </xdr:from>
    <xdr:to>
      <xdr:col>17</xdr:col>
      <xdr:colOff>171450</xdr:colOff>
      <xdr:row>11</xdr:row>
      <xdr:rowOff>628650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152400</xdr:colOff>
      <xdr:row>15</xdr:row>
      <xdr:rowOff>171450</xdr:rowOff>
    </xdr:from>
    <xdr:to>
      <xdr:col>7</xdr:col>
      <xdr:colOff>771525</xdr:colOff>
      <xdr:row>29</xdr:row>
      <xdr:rowOff>552450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57150</xdr:colOff>
      <xdr:row>15</xdr:row>
      <xdr:rowOff>171450</xdr:rowOff>
    </xdr:from>
    <xdr:to>
      <xdr:col>8</xdr:col>
      <xdr:colOff>152400</xdr:colOff>
      <xdr:row>29</xdr:row>
      <xdr:rowOff>190500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116681</xdr:colOff>
      <xdr:row>16</xdr:row>
      <xdr:rowOff>35719</xdr:rowOff>
    </xdr:from>
    <xdr:to>
      <xdr:col>17</xdr:col>
      <xdr:colOff>211931</xdr:colOff>
      <xdr:row>30</xdr:row>
      <xdr:rowOff>35719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76200</xdr:colOff>
      <xdr:row>34</xdr:row>
      <xdr:rowOff>104775</xdr:rowOff>
    </xdr:from>
    <xdr:to>
      <xdr:col>17</xdr:col>
      <xdr:colOff>171450</xdr:colOff>
      <xdr:row>47</xdr:row>
      <xdr:rowOff>0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66675</xdr:colOff>
      <xdr:row>51</xdr:row>
      <xdr:rowOff>171450</xdr:rowOff>
    </xdr:from>
    <xdr:to>
      <xdr:col>8</xdr:col>
      <xdr:colOff>161925</xdr:colOff>
      <xdr:row>66</xdr:row>
      <xdr:rowOff>0</xdr:rowOff>
    </xdr:to>
    <xdr:graphicFrame macro="">
      <xdr:nvGraphicFramePr>
        <xdr:cNvPr id="8" name="10 Gráfic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104775</xdr:colOff>
      <xdr:row>52</xdr:row>
      <xdr:rowOff>0</xdr:rowOff>
    </xdr:from>
    <xdr:to>
      <xdr:col>17</xdr:col>
      <xdr:colOff>200025</xdr:colOff>
      <xdr:row>66</xdr:row>
      <xdr:rowOff>76200</xdr:rowOff>
    </xdr:to>
    <xdr:graphicFrame macro="">
      <xdr:nvGraphicFramePr>
        <xdr:cNvPr id="9" name="11 Gráfic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47625</xdr:colOff>
      <xdr:row>73</xdr:row>
      <xdr:rowOff>104775</xdr:rowOff>
    </xdr:from>
    <xdr:to>
      <xdr:col>8</xdr:col>
      <xdr:colOff>142875</xdr:colOff>
      <xdr:row>87</xdr:row>
      <xdr:rowOff>47625</xdr:rowOff>
    </xdr:to>
    <xdr:graphicFrame macro="">
      <xdr:nvGraphicFramePr>
        <xdr:cNvPr id="10" name="12 Gráfic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76200</xdr:colOff>
      <xdr:row>73</xdr:row>
      <xdr:rowOff>104775</xdr:rowOff>
    </xdr:from>
    <xdr:to>
      <xdr:col>17</xdr:col>
      <xdr:colOff>171450</xdr:colOff>
      <xdr:row>87</xdr:row>
      <xdr:rowOff>28575</xdr:rowOff>
    </xdr:to>
    <xdr:graphicFrame macro="">
      <xdr:nvGraphicFramePr>
        <xdr:cNvPr id="11" name="13 Gráfic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66675</xdr:colOff>
      <xdr:row>93</xdr:row>
      <xdr:rowOff>171450</xdr:rowOff>
    </xdr:from>
    <xdr:to>
      <xdr:col>8</xdr:col>
      <xdr:colOff>161925</xdr:colOff>
      <xdr:row>108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104775</xdr:colOff>
      <xdr:row>94</xdr:row>
      <xdr:rowOff>0</xdr:rowOff>
    </xdr:from>
    <xdr:to>
      <xdr:col>17</xdr:col>
      <xdr:colOff>200025</xdr:colOff>
      <xdr:row>108</xdr:row>
      <xdr:rowOff>0</xdr:rowOff>
    </xdr:to>
    <xdr:graphicFrame macro="">
      <xdr:nvGraphicFramePr>
        <xdr:cNvPr id="13" name="15 Gráfic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619125</xdr:colOff>
      <xdr:row>112</xdr:row>
      <xdr:rowOff>152400</xdr:rowOff>
    </xdr:from>
    <xdr:to>
      <xdr:col>16</xdr:col>
      <xdr:colOff>504825</xdr:colOff>
      <xdr:row>136</xdr:row>
      <xdr:rowOff>114300</xdr:rowOff>
    </xdr:to>
    <xdr:graphicFrame macro="">
      <xdr:nvGraphicFramePr>
        <xdr:cNvPr id="14" name="16 Gráfic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571500</xdr:colOff>
      <xdr:row>1</xdr:row>
      <xdr:rowOff>0</xdr:rowOff>
    </xdr:from>
    <xdr:to>
      <xdr:col>2</xdr:col>
      <xdr:colOff>699587</xdr:colOff>
      <xdr:row>3</xdr:row>
      <xdr:rowOff>116681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" y="142875"/>
          <a:ext cx="1937837" cy="4024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3_Campanita_06-11-2018\SEGUIMIENTO_MED_EXTERNOS\1_SST\8_AT_IT\Accidente\2018\Gesti&#243;n\A_T2017\An&#225;lisis\AT-2017_Indra_Sistem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yrubiano/AppData/Roaming/Microsoft/Excel/Identificaci&#243;n%20accidentalid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-IS-ILI"/>
      <sheetName val="IS-2017"/>
      <sheetName val="Analisis IS 2017"/>
      <sheetName val="IS-2016"/>
      <sheetName val="Analisis IS 2016"/>
      <sheetName val="IS-2015"/>
      <sheetName val="Analisis IS 2015"/>
      <sheetName val="IS-2014"/>
      <sheetName val="Analisis IS 2014"/>
      <sheetName val="IS-2013"/>
      <sheetName val="Analisis IS 2013"/>
      <sheetName val="IS-2012"/>
      <sheetName val="Analisis IS 2012"/>
      <sheetName val="LISTAS"/>
      <sheetName val="COMP IS 2009-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SI</v>
          </cell>
          <cell r="B2" t="str">
            <v>MUJER</v>
          </cell>
          <cell r="C2" t="str">
            <v>FATALIDAD</v>
          </cell>
          <cell r="D2" t="str">
            <v>ALMACENES O DEPÓSITOS</v>
          </cell>
          <cell r="E2" t="str">
            <v>CARA (NO OJOS Y OÍDOS)</v>
          </cell>
          <cell r="F2" t="str">
            <v>LUNES</v>
          </cell>
          <cell r="G2" t="str">
            <v>CERRADA</v>
          </cell>
          <cell r="H2" t="str">
            <v>Biológico</v>
          </cell>
          <cell r="I2" t="str">
            <v>ENERO</v>
          </cell>
          <cell r="K2" t="str">
            <v>Operación del equipo sin autorización</v>
          </cell>
          <cell r="N2" t="str">
            <v>Barandas o barreras inadecuadas</v>
          </cell>
          <cell r="R2" t="str">
            <v>Capacidad física inadecuada</v>
          </cell>
          <cell r="U2" t="str">
            <v>Liderazgo o supervisión inadecuados</v>
          </cell>
          <cell r="Y2" t="str">
            <v>Liderazgo y administración</v>
          </cell>
        </row>
        <row r="3">
          <cell r="A3" t="str">
            <v>NO</v>
          </cell>
          <cell r="B3" t="str">
            <v>HOMBRE</v>
          </cell>
          <cell r="C3" t="str">
            <v>PERDIDA DE TIEMPO / LOST TIME</v>
          </cell>
          <cell r="D3" t="str">
            <v>ÁREAS DE PRODUCCIÓN</v>
          </cell>
          <cell r="E3" t="str">
            <v>CRÁNEO</v>
          </cell>
          <cell r="F3" t="str">
            <v>MARTES</v>
          </cell>
          <cell r="G3" t="str">
            <v>ABIERTA</v>
          </cell>
          <cell r="H3" t="str">
            <v>Biomecanico - Ergonómico</v>
          </cell>
          <cell r="I3" t="str">
            <v>FEBRERO</v>
          </cell>
          <cell r="K3" t="str">
            <v>Falla en la advertencia</v>
          </cell>
          <cell r="N3" t="str">
            <v>Herramientas, equipo o materiales defectuosos</v>
          </cell>
          <cell r="R3" t="str">
            <v>Capacidad mental inadecuada</v>
          </cell>
          <cell r="U3" t="str">
            <v>Ingeniería inadecuada</v>
          </cell>
          <cell r="Y3" t="str">
            <v>Formación de liderazgo</v>
          </cell>
        </row>
        <row r="4">
          <cell r="C4" t="str">
            <v>TRABAJO RESTRINGIDO</v>
          </cell>
          <cell r="D4" t="str">
            <v>ÁREAS RECREATIVAS O DEPORTIVAS</v>
          </cell>
          <cell r="E4" t="str">
            <v>CUELLO</v>
          </cell>
          <cell r="F4" t="str">
            <v>MIÉRCOLES</v>
          </cell>
          <cell r="G4" t="str">
            <v>EN PROCESO</v>
          </cell>
          <cell r="H4" t="str">
            <v>Eléctrico</v>
          </cell>
          <cell r="I4" t="str">
            <v>MARZO</v>
          </cell>
          <cell r="K4" t="str">
            <v>Falla en asegurar</v>
          </cell>
          <cell r="N4" t="str">
            <v>Sistema de alarma inadecuado</v>
          </cell>
          <cell r="R4" t="str">
            <v>Falta de conocimiento</v>
          </cell>
          <cell r="U4" t="str">
            <v>Compras inadecuadas</v>
          </cell>
          <cell r="Y4" t="str">
            <v>Contratación y colocación</v>
          </cell>
        </row>
        <row r="5">
          <cell r="C5" t="str">
            <v>TRATAMIENTO MEDICO</v>
          </cell>
          <cell r="D5" t="str">
            <v>CORREDORES O PASILLOS</v>
          </cell>
          <cell r="E5" t="str">
            <v>GENITALES</v>
          </cell>
          <cell r="F5" t="str">
            <v>JUEVES</v>
          </cell>
          <cell r="H5" t="str">
            <v>Físico</v>
          </cell>
          <cell r="I5" t="str">
            <v>ABRIL</v>
          </cell>
          <cell r="K5" t="str">
            <v>Operación a velocidad inadecuada</v>
          </cell>
          <cell r="N5" t="str">
            <v>Peligro de incendio o explosión</v>
          </cell>
          <cell r="R5" t="str">
            <v>Falta de habilidad</v>
          </cell>
          <cell r="U5" t="str">
            <v>Mantenimiento inadecuado</v>
          </cell>
          <cell r="Y5" t="str">
            <v>Observaciones de actividades</v>
          </cell>
        </row>
        <row r="6">
          <cell r="C6" t="str">
            <v>PRIMER AUXILIO</v>
          </cell>
          <cell r="D6" t="str">
            <v>CAFETERÍA Y COMEDORES</v>
          </cell>
          <cell r="E6" t="str">
            <v>MANOS</v>
          </cell>
          <cell r="F6" t="str">
            <v>VIERNES</v>
          </cell>
          <cell r="H6" t="str">
            <v>Físico - Químico</v>
          </cell>
          <cell r="I6" t="str">
            <v>MAYO</v>
          </cell>
          <cell r="K6" t="str">
            <v>Hacer inoperables los dispositivos de seguridad</v>
          </cell>
          <cell r="N6" t="str">
            <v>Temperaturas extremas</v>
          </cell>
          <cell r="R6" t="str">
            <v>Estrés físico</v>
          </cell>
          <cell r="U6" t="str">
            <v>Herramientas, equipo, materiales inadecuados</v>
          </cell>
          <cell r="Y6" t="str">
            <v>Preparación para emergencias</v>
          </cell>
        </row>
        <row r="7">
          <cell r="D7" t="str">
            <v>ESCALERAS</v>
          </cell>
          <cell r="E7" t="str">
            <v>MIEMBROS INFERIORES (NO PÍES)</v>
          </cell>
          <cell r="F7" t="str">
            <v>SÁBADO</v>
          </cell>
          <cell r="H7" t="str">
            <v>Locativo</v>
          </cell>
          <cell r="I7" t="str">
            <v>JUNIO</v>
          </cell>
          <cell r="K7" t="str">
            <v>Uso de equipo defectuoso</v>
          </cell>
          <cell r="N7" t="str">
            <v>Parámetro anormal de procesos</v>
          </cell>
          <cell r="R7" t="str">
            <v>Estrés mental</v>
          </cell>
          <cell r="U7" t="str">
            <v>Estándares inadecuados de trabajo</v>
          </cell>
          <cell r="Y7" t="str">
            <v>Seguridad fuera del trabajo</v>
          </cell>
        </row>
        <row r="8">
          <cell r="D8" t="str">
            <v>OFICINAS</v>
          </cell>
          <cell r="E8" t="str">
            <v>MIEMBROS SUPERIORES (NO MANOS)</v>
          </cell>
          <cell r="F8" t="str">
            <v>DOMINGO</v>
          </cell>
          <cell r="H8" t="str">
            <v xml:space="preserve">Mecánico </v>
          </cell>
          <cell r="I8" t="str">
            <v>JULIO</v>
          </cell>
          <cell r="K8" t="str">
            <v>Cargar inadecuadamente</v>
          </cell>
          <cell r="N8" t="str">
            <v>Desbordamiento</v>
          </cell>
          <cell r="R8" t="str">
            <v>Motivación inadecuada</v>
          </cell>
          <cell r="U8" t="str">
            <v>Abuso o uso inadecuado</v>
          </cell>
          <cell r="Y8" t="str">
            <v>Análisis de accidentes / incidentes /impactos</v>
          </cell>
        </row>
        <row r="9">
          <cell r="E9" t="str">
            <v>MUÑECAS</v>
          </cell>
          <cell r="N9" t="str">
            <v>Presencia de deniveles y sin señañlización</v>
          </cell>
          <cell r="R9" t="str">
            <v>Distracción</v>
          </cell>
          <cell r="Y9" t="str">
            <v>Identificación de riesgos existentes</v>
          </cell>
        </row>
        <row r="10">
          <cell r="D10" t="str">
            <v>PARQUEADEROS O ÁREAS DE CIRCULACIÓN VEHICULAR</v>
          </cell>
          <cell r="E10" t="str">
            <v>OJOS</v>
          </cell>
          <cell r="H10" t="str">
            <v>Natural</v>
          </cell>
          <cell r="I10" t="str">
            <v>AGOSTO</v>
          </cell>
          <cell r="K10" t="str">
            <v>Colocar inadecuadamente</v>
          </cell>
          <cell r="N10" t="str">
            <v>Equipo inadecuado o incorrecto</v>
          </cell>
          <cell r="R10" t="str">
            <v>No Aplica</v>
          </cell>
          <cell r="U10" t="str">
            <v>Uso y rotura</v>
          </cell>
          <cell r="Y10" t="str">
            <v>Aspectos e impactos ambientales</v>
          </cell>
        </row>
        <row r="11">
          <cell r="D11" t="str">
            <v>OTRAS ÁREAS COMUNES</v>
          </cell>
          <cell r="E11" t="str">
            <v>OÍDOS</v>
          </cell>
          <cell r="H11" t="str">
            <v>Psicosocial</v>
          </cell>
          <cell r="I11" t="str">
            <v>SEPTIEMBRE</v>
          </cell>
          <cell r="K11" t="str">
            <v>Elevación de carga inadecuada</v>
          </cell>
          <cell r="N11" t="str">
            <v>Congestión o acción restringida</v>
          </cell>
          <cell r="U11" t="str">
            <v>No Aplica</v>
          </cell>
          <cell r="Y11" t="str">
            <v>Investigación de accidentes / incidentes  /impactos</v>
          </cell>
        </row>
        <row r="12">
          <cell r="D12" t="str">
            <v>OTROS</v>
          </cell>
          <cell r="E12" t="str">
            <v>PÍES</v>
          </cell>
          <cell r="H12" t="str">
            <v>Público</v>
          </cell>
          <cell r="I12" t="str">
            <v>OCTUBRE</v>
          </cell>
          <cell r="K12" t="str">
            <v>Mantenimiento del equipo en operación</v>
          </cell>
          <cell r="N12" t="str">
            <v>Falta de aseo, desorden</v>
          </cell>
          <cell r="Y12" t="str">
            <v>Equipo de protección personal</v>
          </cell>
        </row>
        <row r="13">
          <cell r="E13" t="str">
            <v>REGIÓN LUMBAR &amp; ABDOMEN</v>
          </cell>
          <cell r="H13" t="str">
            <v>Químico</v>
          </cell>
          <cell r="I13" t="str">
            <v>NOVIEMBRE</v>
          </cell>
          <cell r="K13" t="str">
            <v>Juegos riesgosos</v>
          </cell>
          <cell r="N13" t="str">
            <v>Exposición a la radiación</v>
          </cell>
          <cell r="Y13" t="str">
            <v>Evaluación del sistema</v>
          </cell>
        </row>
        <row r="14">
          <cell r="E14" t="str">
            <v>TÓRAX, ESPALDA &amp; COSTADOS</v>
          </cell>
          <cell r="H14" t="str">
            <v>Transito y Transporte</v>
          </cell>
          <cell r="I14" t="str">
            <v>DICIEMBRE</v>
          </cell>
          <cell r="K14" t="str">
            <v>Bajo influencia del alcohol / drogas</v>
          </cell>
          <cell r="N14" t="str">
            <v>Iluminación inadecuada o excesiva</v>
          </cell>
          <cell r="Y14" t="str">
            <v>Análisis critico de actividades</v>
          </cell>
        </row>
        <row r="15">
          <cell r="E15" t="str">
            <v>UBICACIONES MÚLTIPLES</v>
          </cell>
          <cell r="K15" t="str">
            <v>No usar EPP</v>
          </cell>
          <cell r="N15" t="str">
            <v>Ventilación inadecuada</v>
          </cell>
          <cell r="Y15" t="str">
            <v>Comunicaciones personales</v>
          </cell>
        </row>
        <row r="16">
          <cell r="K16" t="str">
            <v>Prisa y distracción al transitar por áreas comunes</v>
          </cell>
          <cell r="N16" t="str">
            <v>Espacio de trabajo limitados e inadecuados</v>
          </cell>
        </row>
        <row r="17">
          <cell r="K17" t="str">
            <v>Posición inadecuada para realizar la actividad</v>
          </cell>
          <cell r="N17" t="str">
            <v>No Aplica</v>
          </cell>
          <cell r="Y17" t="str">
            <v>Reglas y permisos de trabajo</v>
          </cell>
        </row>
        <row r="18">
          <cell r="K18" t="str">
            <v>No acatamiento de procedimientos</v>
          </cell>
        </row>
        <row r="19">
          <cell r="K19" t="str">
            <v>No Aplica</v>
          </cell>
          <cell r="Y19" t="str">
            <v>Programa medio ambiental</v>
          </cell>
        </row>
        <row r="20">
          <cell r="Y20" t="str">
            <v>Conocimientos y capacitación técnica</v>
          </cell>
        </row>
        <row r="21">
          <cell r="Y21" t="str">
            <v>Inspecciones y mantenimiento planificados</v>
          </cell>
        </row>
        <row r="22">
          <cell r="Y22" t="str">
            <v>Monitoreo y evaluación del rendimiento</v>
          </cell>
        </row>
        <row r="23">
          <cell r="Y23" t="str">
            <v>Control de salud e higiene</v>
          </cell>
        </row>
        <row r="24">
          <cell r="Y24" t="str">
            <v>Promoción general</v>
          </cell>
        </row>
        <row r="25">
          <cell r="Y25" t="str">
            <v>Ingeniería /gestión de cambios</v>
          </cell>
        </row>
        <row r="26">
          <cell r="Y26" t="str">
            <v>Comunicaciones grupales</v>
          </cell>
        </row>
        <row r="27">
          <cell r="Y27" t="str">
            <v>Gestión de materiales y servicio</v>
          </cell>
        </row>
        <row r="28">
          <cell r="Y28" t="str">
            <v>Relaciones con externos</v>
          </cell>
        </row>
        <row r="29">
          <cell r="Y29" t="str">
            <v>No Aplica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IOS"/>
      <sheetName val="Hoja2"/>
      <sheetName val="Hoja1"/>
      <sheetName val="Hoja3"/>
    </sheetNames>
    <sheetDataSet>
      <sheetData sheetId="0" refreshError="1"/>
      <sheetData sheetId="1">
        <row r="2">
          <cell r="B2" t="str">
            <v>SI</v>
          </cell>
        </row>
        <row r="3">
          <cell r="B3" t="str">
            <v>NO</v>
          </cell>
        </row>
        <row r="4">
          <cell r="B4" t="str">
            <v>N/A</v>
          </cell>
        </row>
      </sheetData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Normal="100" workbookViewId="0">
      <selection activeCell="I6" sqref="I6"/>
    </sheetView>
  </sheetViews>
  <sheetFormatPr baseColWidth="10" defaultRowHeight="12.75" x14ac:dyDescent="0.25"/>
  <cols>
    <col min="1" max="1" width="16.42578125" style="34" customWidth="1"/>
    <col min="2" max="2" width="11.85546875" style="34" bestFit="1" customWidth="1"/>
    <col min="3" max="3" width="8.85546875" style="34" bestFit="1" customWidth="1"/>
    <col min="4" max="4" width="12.7109375" style="34" customWidth="1"/>
    <col min="5" max="5" width="15.85546875" style="34" customWidth="1"/>
    <col min="6" max="6" width="11.5703125" style="34" customWidth="1"/>
    <col min="7" max="7" width="15.28515625" style="34" customWidth="1"/>
    <col min="8" max="8" width="9.28515625" style="34" bestFit="1" customWidth="1"/>
    <col min="9" max="9" width="12" style="34" bestFit="1" customWidth="1"/>
    <col min="10" max="10" width="11.5703125" style="66" bestFit="1" customWidth="1"/>
    <col min="11" max="11" width="9.28515625" style="34" bestFit="1" customWidth="1"/>
    <col min="12" max="12" width="14" style="34" bestFit="1" customWidth="1"/>
    <col min="13" max="13" width="11.5703125" style="66" bestFit="1" customWidth="1"/>
    <col min="14" max="14" width="11.5703125" style="34" bestFit="1" customWidth="1"/>
    <col min="15" max="15" width="13.28515625" style="34" bestFit="1" customWidth="1"/>
    <col min="16" max="16" width="16.5703125" style="34" customWidth="1"/>
    <col min="17" max="16384" width="11.42578125" style="34"/>
  </cols>
  <sheetData>
    <row r="1" spans="1:16" s="47" customFormat="1" ht="19.5" customHeight="1" x14ac:dyDescent="0.2">
      <c r="D1" s="88" t="s">
        <v>253</v>
      </c>
      <c r="E1" s="88"/>
      <c r="F1" s="88"/>
      <c r="G1" s="88"/>
      <c r="H1" s="88"/>
      <c r="I1" s="88"/>
      <c r="J1" s="88"/>
      <c r="K1" s="88"/>
      <c r="L1" s="88"/>
      <c r="M1" s="88"/>
      <c r="N1" s="48"/>
      <c r="O1" s="53" t="s">
        <v>199</v>
      </c>
      <c r="P1" s="54" t="s">
        <v>223</v>
      </c>
    </row>
    <row r="2" spans="1:16" s="47" customFormat="1" ht="19.5" customHeight="1" x14ac:dyDescent="0.2">
      <c r="D2" s="88"/>
      <c r="E2" s="88"/>
      <c r="F2" s="88"/>
      <c r="G2" s="88"/>
      <c r="H2" s="88"/>
      <c r="I2" s="88"/>
      <c r="J2" s="88"/>
      <c r="K2" s="88"/>
      <c r="L2" s="88"/>
      <c r="M2" s="88"/>
      <c r="N2" s="48"/>
      <c r="O2" s="53" t="s">
        <v>200</v>
      </c>
      <c r="P2" s="54">
        <v>2</v>
      </c>
    </row>
    <row r="3" spans="1:16" s="47" customFormat="1" ht="19.5" customHeight="1" x14ac:dyDescent="0.2">
      <c r="D3" s="88"/>
      <c r="E3" s="88"/>
      <c r="F3" s="88"/>
      <c r="G3" s="88"/>
      <c r="H3" s="88"/>
      <c r="I3" s="88"/>
      <c r="J3" s="88"/>
      <c r="K3" s="88"/>
      <c r="L3" s="88"/>
      <c r="M3" s="88"/>
      <c r="N3" s="48"/>
      <c r="O3" s="53" t="s">
        <v>256</v>
      </c>
      <c r="P3" s="55">
        <v>44895</v>
      </c>
    </row>
    <row r="4" spans="1:16" s="47" customFormat="1" ht="19.5" customHeight="1" x14ac:dyDescent="0.2">
      <c r="D4" s="88"/>
      <c r="E4" s="88"/>
      <c r="F4" s="88"/>
      <c r="G4" s="88"/>
      <c r="H4" s="88"/>
      <c r="I4" s="88"/>
      <c r="J4" s="88"/>
      <c r="K4" s="88"/>
      <c r="L4" s="88"/>
      <c r="M4" s="88"/>
      <c r="N4" s="48"/>
      <c r="O4" s="53" t="s">
        <v>201</v>
      </c>
      <c r="P4" s="54" t="s">
        <v>202</v>
      </c>
    </row>
    <row r="5" spans="1:16" s="30" customFormat="1" ht="17.25" customHeight="1" x14ac:dyDescent="0.2"/>
    <row r="6" spans="1:16" s="30" customFormat="1" ht="17.25" customHeight="1" x14ac:dyDescent="0.25">
      <c r="A6" s="87" t="s">
        <v>254</v>
      </c>
      <c r="B6" s="87"/>
      <c r="C6" s="87"/>
      <c r="D6" s="87"/>
      <c r="E6" s="87"/>
      <c r="F6" s="87"/>
      <c r="G6" s="87"/>
    </row>
    <row r="7" spans="1:16" s="30" customFormat="1" ht="17.25" customHeight="1" thickBot="1" x14ac:dyDescent="0.25"/>
    <row r="8" spans="1:16" ht="15" customHeight="1" thickBot="1" x14ac:dyDescent="0.3">
      <c r="A8" s="104" t="s">
        <v>76</v>
      </c>
      <c r="B8" s="104" t="s">
        <v>247</v>
      </c>
      <c r="C8" s="104" t="s">
        <v>252</v>
      </c>
      <c r="D8" s="104" t="s">
        <v>251</v>
      </c>
      <c r="E8" s="104" t="s">
        <v>250</v>
      </c>
      <c r="F8" s="99" t="s">
        <v>249</v>
      </c>
      <c r="G8" s="101" t="s">
        <v>246</v>
      </c>
      <c r="H8" s="91" t="s">
        <v>248</v>
      </c>
      <c r="I8" s="92"/>
      <c r="J8" s="92"/>
      <c r="K8" s="92"/>
      <c r="L8" s="92"/>
      <c r="M8" s="92"/>
      <c r="N8" s="92"/>
      <c r="O8" s="92"/>
      <c r="P8" s="93"/>
    </row>
    <row r="9" spans="1:16" ht="13.5" thickBot="1" x14ac:dyDescent="0.3">
      <c r="A9" s="105"/>
      <c r="B9" s="105"/>
      <c r="C9" s="105"/>
      <c r="D9" s="105"/>
      <c r="E9" s="105"/>
      <c r="F9" s="100"/>
      <c r="G9" s="102"/>
      <c r="H9" s="96" t="s">
        <v>245</v>
      </c>
      <c r="I9" s="97"/>
      <c r="J9" s="98"/>
      <c r="K9" s="96" t="s">
        <v>244</v>
      </c>
      <c r="L9" s="97"/>
      <c r="M9" s="98"/>
      <c r="N9" s="91" t="s">
        <v>243</v>
      </c>
      <c r="O9" s="92"/>
      <c r="P9" s="93"/>
    </row>
    <row r="10" spans="1:16" ht="15" x14ac:dyDescent="0.2">
      <c r="A10" s="72">
        <v>1</v>
      </c>
      <c r="B10" s="84"/>
      <c r="C10" s="71">
        <f>B10*20*9</f>
        <v>0</v>
      </c>
      <c r="D10" s="83"/>
      <c r="E10" s="83"/>
      <c r="F10" s="83"/>
      <c r="G10" s="82"/>
      <c r="H10" s="74" t="e">
        <f>(D10/B10)*100</f>
        <v>#DIV/0!</v>
      </c>
      <c r="I10" s="108" t="e">
        <f>SUM(D10:D11)/SUM(B10:B11)*100</f>
        <v>#DIV/0!</v>
      </c>
      <c r="J10" s="103" t="e">
        <f>SUM(D10:D13)/SUM(B10:B13)*100</f>
        <v>#DIV/0!</v>
      </c>
      <c r="K10" s="81" t="e">
        <f>((E10+F10)/B10)*100</f>
        <v>#DIV/0!</v>
      </c>
      <c r="L10" s="108" t="e">
        <f>((SUM(E10:E11)+SUM(F10:F11))/(SUM(B10:B11))*100)</f>
        <v>#DIV/0!</v>
      </c>
      <c r="M10" s="89" t="e">
        <f>((SUM(E10:E13)+SUM(F10:F13))/(SUM(B10:B13))*100)</f>
        <v>#DIV/0!</v>
      </c>
      <c r="N10" s="80" t="e">
        <f>(G10/D10)*100</f>
        <v>#DIV/0!</v>
      </c>
      <c r="O10" s="110" t="e">
        <f>((SUM(G10:G11)/(SUM(B10:B11))*100))</f>
        <v>#DIV/0!</v>
      </c>
      <c r="P10" s="94" t="e">
        <f>((SUM(G10:G13)/(SUM(B10:B13))*100))</f>
        <v>#DIV/0!</v>
      </c>
    </row>
    <row r="11" spans="1:16" ht="15.75" customHeight="1" thickBot="1" x14ac:dyDescent="0.25">
      <c r="A11" s="72">
        <v>2</v>
      </c>
      <c r="B11" s="73"/>
      <c r="C11" s="71">
        <f>B11*20*9</f>
        <v>0</v>
      </c>
      <c r="D11" s="68"/>
      <c r="E11" s="68"/>
      <c r="F11" s="68"/>
      <c r="G11" s="79"/>
      <c r="H11" s="70" t="e">
        <f>(D11/B11)*100</f>
        <v>#DIV/0!</v>
      </c>
      <c r="I11" s="109"/>
      <c r="J11" s="90"/>
      <c r="K11" s="70" t="e">
        <f>((E11+F11)/B11)*100</f>
        <v>#DIV/0!</v>
      </c>
      <c r="L11" s="109"/>
      <c r="M11" s="90"/>
      <c r="N11" s="69" t="e">
        <f>(G11/D11)*100</f>
        <v>#DIV/0!</v>
      </c>
      <c r="O11" s="111"/>
      <c r="P11" s="95"/>
    </row>
    <row r="12" spans="1:16" ht="15" x14ac:dyDescent="0.2">
      <c r="A12" s="72">
        <v>3</v>
      </c>
      <c r="B12" s="73"/>
      <c r="C12" s="71">
        <f>B12*20*9</f>
        <v>0</v>
      </c>
      <c r="D12" s="68"/>
      <c r="E12" s="68"/>
      <c r="F12" s="68"/>
      <c r="G12" s="79"/>
      <c r="H12" s="70" t="e">
        <f>(D12/B12)*100</f>
        <v>#DIV/0!</v>
      </c>
      <c r="I12" s="106" t="e">
        <f>SUM(D12:D13)/SUM(B12:B13)*100</f>
        <v>#DIV/0!</v>
      </c>
      <c r="J12" s="90"/>
      <c r="K12" s="70" t="e">
        <f>((E12+F12)/B12)*100</f>
        <v>#DIV/0!</v>
      </c>
      <c r="L12" s="106" t="e">
        <f>((SUM(E12:E13)+SUM(F12:F13))/(SUM(B12:B13))*100)</f>
        <v>#DIV/0!</v>
      </c>
      <c r="M12" s="90"/>
      <c r="N12" s="69" t="e">
        <f>(G12/D12)*100</f>
        <v>#DIV/0!</v>
      </c>
      <c r="O12" s="112" t="e">
        <f>((SUM(G12:G13)/(SUM(B12:B13))*100))</f>
        <v>#DIV/0!</v>
      </c>
      <c r="P12" s="95"/>
    </row>
    <row r="13" spans="1:16" ht="15.75" customHeight="1" thickBot="1" x14ac:dyDescent="0.25">
      <c r="A13" s="72">
        <v>4</v>
      </c>
      <c r="B13" s="73"/>
      <c r="C13" s="71">
        <f>B13*20*9</f>
        <v>0</v>
      </c>
      <c r="D13" s="68"/>
      <c r="E13" s="68"/>
      <c r="F13" s="68"/>
      <c r="G13" s="79"/>
      <c r="H13" s="70" t="e">
        <f>(D13/B13)*100</f>
        <v>#DIV/0!</v>
      </c>
      <c r="I13" s="107"/>
      <c r="J13" s="90"/>
      <c r="K13" s="70" t="e">
        <f>((E13+F13)/B13)*100</f>
        <v>#DIV/0!</v>
      </c>
      <c r="L13" s="107"/>
      <c r="M13" s="90"/>
      <c r="N13" s="69" t="e">
        <f>(G13/D13)*100</f>
        <v>#DIV/0!</v>
      </c>
      <c r="O13" s="113"/>
      <c r="P13" s="95"/>
    </row>
    <row r="14" spans="1:16" ht="15.75" customHeight="1" thickBot="1" x14ac:dyDescent="0.3">
      <c r="A14" s="85" t="s">
        <v>90</v>
      </c>
      <c r="B14" s="67">
        <f t="shared" ref="B14:G14" si="0">SUM(B10:B13)</f>
        <v>0</v>
      </c>
      <c r="C14" s="67">
        <f t="shared" si="0"/>
        <v>0</v>
      </c>
      <c r="D14" s="67">
        <f t="shared" si="0"/>
        <v>0</v>
      </c>
      <c r="E14" s="67">
        <f t="shared" si="0"/>
        <v>0</v>
      </c>
      <c r="F14" s="67">
        <f t="shared" si="0"/>
        <v>0</v>
      </c>
      <c r="G14" s="78">
        <f t="shared" si="0"/>
        <v>0</v>
      </c>
      <c r="H14" s="86"/>
      <c r="I14" s="77"/>
      <c r="J14" s="77"/>
      <c r="K14" s="77"/>
      <c r="L14" s="77"/>
      <c r="M14" s="77"/>
      <c r="N14" s="76"/>
      <c r="O14" s="76"/>
      <c r="P14" s="75"/>
    </row>
    <row r="16" spans="1:16" s="30" customFormat="1" ht="17.25" customHeight="1" x14ac:dyDescent="0.25">
      <c r="A16" s="87" t="s">
        <v>255</v>
      </c>
      <c r="B16" s="87"/>
      <c r="C16" s="87"/>
      <c r="D16" s="87"/>
      <c r="E16" s="87"/>
      <c r="F16" s="87"/>
      <c r="G16" s="87"/>
    </row>
    <row r="17" spans="1:16" s="30" customFormat="1" ht="17.25" customHeight="1" thickBot="1" x14ac:dyDescent="0.25"/>
    <row r="18" spans="1:16" ht="15" customHeight="1" thickBot="1" x14ac:dyDescent="0.3">
      <c r="A18" s="104" t="s">
        <v>76</v>
      </c>
      <c r="B18" s="104" t="s">
        <v>247</v>
      </c>
      <c r="C18" s="104" t="s">
        <v>252</v>
      </c>
      <c r="D18" s="104" t="s">
        <v>251</v>
      </c>
      <c r="E18" s="104" t="s">
        <v>250</v>
      </c>
      <c r="F18" s="99" t="s">
        <v>249</v>
      </c>
      <c r="G18" s="101" t="s">
        <v>246</v>
      </c>
      <c r="H18" s="91" t="s">
        <v>248</v>
      </c>
      <c r="I18" s="92"/>
      <c r="J18" s="92"/>
      <c r="K18" s="92"/>
      <c r="L18" s="92"/>
      <c r="M18" s="92"/>
      <c r="N18" s="92"/>
      <c r="O18" s="92"/>
      <c r="P18" s="93"/>
    </row>
    <row r="19" spans="1:16" ht="13.5" thickBot="1" x14ac:dyDescent="0.3">
      <c r="A19" s="105"/>
      <c r="B19" s="105"/>
      <c r="C19" s="105"/>
      <c r="D19" s="105"/>
      <c r="E19" s="105"/>
      <c r="F19" s="100"/>
      <c r="G19" s="102"/>
      <c r="H19" s="96" t="s">
        <v>245</v>
      </c>
      <c r="I19" s="97"/>
      <c r="J19" s="98"/>
      <c r="K19" s="96" t="s">
        <v>244</v>
      </c>
      <c r="L19" s="97"/>
      <c r="M19" s="98"/>
      <c r="N19" s="91" t="s">
        <v>243</v>
      </c>
      <c r="O19" s="92"/>
      <c r="P19" s="93"/>
    </row>
    <row r="20" spans="1:16" ht="15" x14ac:dyDescent="0.2">
      <c r="A20" s="72">
        <v>1</v>
      </c>
      <c r="B20" s="84"/>
      <c r="C20" s="71">
        <f>B20*20*9</f>
        <v>0</v>
      </c>
      <c r="D20" s="83"/>
      <c r="E20" s="83"/>
      <c r="F20" s="83"/>
      <c r="G20" s="82"/>
      <c r="H20" s="74" t="e">
        <f>(D20/B20)*100</f>
        <v>#DIV/0!</v>
      </c>
      <c r="I20" s="108" t="e">
        <f>SUM(D20:D21)/SUM(B20:B21)*100</f>
        <v>#DIV/0!</v>
      </c>
      <c r="J20" s="103" t="e">
        <f>SUM(D20:D23)/SUM(B20:B23)*100</f>
        <v>#DIV/0!</v>
      </c>
      <c r="K20" s="81" t="e">
        <f>((E20+F20)/B20)*100</f>
        <v>#DIV/0!</v>
      </c>
      <c r="L20" s="108" t="e">
        <f>((SUM(E20:E21)+SUM(F20:F21))/(SUM(B20:B21))*100)</f>
        <v>#DIV/0!</v>
      </c>
      <c r="M20" s="89" t="e">
        <f>((SUM(E20:E23)+SUM(F20:F23))/(SUM(B20:B23))*100)</f>
        <v>#DIV/0!</v>
      </c>
      <c r="N20" s="80" t="e">
        <f>(G20/D20)*100</f>
        <v>#DIV/0!</v>
      </c>
      <c r="O20" s="110" t="e">
        <f>((SUM(G20:G21)/(SUM(B20:B21))*100))</f>
        <v>#DIV/0!</v>
      </c>
      <c r="P20" s="94" t="e">
        <f>((SUM(G20:G23)/(SUM(B20:B23))*100))</f>
        <v>#DIV/0!</v>
      </c>
    </row>
    <row r="21" spans="1:16" ht="15.75" customHeight="1" thickBot="1" x14ac:dyDescent="0.25">
      <c r="A21" s="72">
        <v>2</v>
      </c>
      <c r="B21" s="73"/>
      <c r="C21" s="71">
        <f>B21*20*9</f>
        <v>0</v>
      </c>
      <c r="D21" s="68"/>
      <c r="E21" s="68"/>
      <c r="F21" s="68"/>
      <c r="G21" s="79"/>
      <c r="H21" s="70" t="e">
        <f>(D21/B21)*100</f>
        <v>#DIV/0!</v>
      </c>
      <c r="I21" s="109"/>
      <c r="J21" s="90"/>
      <c r="K21" s="70" t="e">
        <f>((E21+F21)/B21)*100</f>
        <v>#DIV/0!</v>
      </c>
      <c r="L21" s="109"/>
      <c r="M21" s="90"/>
      <c r="N21" s="69" t="e">
        <f>(G21/D21)*100</f>
        <v>#DIV/0!</v>
      </c>
      <c r="O21" s="111"/>
      <c r="P21" s="95"/>
    </row>
    <row r="22" spans="1:16" ht="15" x14ac:dyDescent="0.2">
      <c r="A22" s="72">
        <v>3</v>
      </c>
      <c r="B22" s="73"/>
      <c r="C22" s="71">
        <f>B22*20*9</f>
        <v>0</v>
      </c>
      <c r="D22" s="68"/>
      <c r="E22" s="68"/>
      <c r="F22" s="68"/>
      <c r="G22" s="79"/>
      <c r="H22" s="70" t="e">
        <f>(D22/B22)*100</f>
        <v>#DIV/0!</v>
      </c>
      <c r="I22" s="106" t="e">
        <f>SUM(D22:D23)/SUM(B22:B23)*100</f>
        <v>#DIV/0!</v>
      </c>
      <c r="J22" s="90"/>
      <c r="K22" s="70" t="e">
        <f>((E22+F22)/B22)*100</f>
        <v>#DIV/0!</v>
      </c>
      <c r="L22" s="106" t="e">
        <f>((SUM(E22:E23)+SUM(F22:F23))/(SUM(B22:B23))*100)</f>
        <v>#DIV/0!</v>
      </c>
      <c r="M22" s="90"/>
      <c r="N22" s="69" t="e">
        <f>(G22/D22)*100</f>
        <v>#DIV/0!</v>
      </c>
      <c r="O22" s="112" t="e">
        <f>((SUM(G22:G23)/(SUM(B22:B23))*100))</f>
        <v>#DIV/0!</v>
      </c>
      <c r="P22" s="95"/>
    </row>
    <row r="23" spans="1:16" ht="15.75" customHeight="1" thickBot="1" x14ac:dyDescent="0.25">
      <c r="A23" s="72">
        <v>4</v>
      </c>
      <c r="B23" s="73"/>
      <c r="C23" s="71">
        <f>B23*20*9</f>
        <v>0</v>
      </c>
      <c r="D23" s="68"/>
      <c r="E23" s="68"/>
      <c r="F23" s="68"/>
      <c r="G23" s="79"/>
      <c r="H23" s="70" t="e">
        <f>(D23/B23)*100</f>
        <v>#DIV/0!</v>
      </c>
      <c r="I23" s="107"/>
      <c r="J23" s="90"/>
      <c r="K23" s="70" t="e">
        <f>((E23+F23)/B23)*100</f>
        <v>#DIV/0!</v>
      </c>
      <c r="L23" s="107"/>
      <c r="M23" s="90"/>
      <c r="N23" s="69" t="e">
        <f>(G23/D23)*100</f>
        <v>#DIV/0!</v>
      </c>
      <c r="O23" s="113"/>
      <c r="P23" s="95"/>
    </row>
    <row r="24" spans="1:16" ht="15.75" customHeight="1" thickBot="1" x14ac:dyDescent="0.3">
      <c r="A24" s="85" t="s">
        <v>90</v>
      </c>
      <c r="B24" s="67">
        <f t="shared" ref="B24:G24" si="1">SUM(B20:B23)</f>
        <v>0</v>
      </c>
      <c r="C24" s="67">
        <f t="shared" si="1"/>
        <v>0</v>
      </c>
      <c r="D24" s="67">
        <f t="shared" si="1"/>
        <v>0</v>
      </c>
      <c r="E24" s="67">
        <f t="shared" si="1"/>
        <v>0</v>
      </c>
      <c r="F24" s="67">
        <f t="shared" si="1"/>
        <v>0</v>
      </c>
      <c r="G24" s="78">
        <f t="shared" si="1"/>
        <v>0</v>
      </c>
      <c r="H24" s="86"/>
      <c r="I24" s="77"/>
      <c r="J24" s="77"/>
      <c r="K24" s="77"/>
      <c r="L24" s="77"/>
      <c r="M24" s="77"/>
      <c r="N24" s="76"/>
      <c r="O24" s="76"/>
      <c r="P24" s="75"/>
    </row>
    <row r="25" spans="1:16" x14ac:dyDescent="0.25">
      <c r="J25" s="34"/>
      <c r="M25" s="34"/>
    </row>
    <row r="26" spans="1:16" x14ac:dyDescent="0.25">
      <c r="J26" s="34"/>
      <c r="M26" s="34"/>
    </row>
    <row r="27" spans="1:16" x14ac:dyDescent="0.25">
      <c r="J27" s="34"/>
      <c r="M27" s="34"/>
    </row>
    <row r="28" spans="1:16" x14ac:dyDescent="0.25">
      <c r="J28" s="34"/>
      <c r="M28" s="34"/>
    </row>
    <row r="29" spans="1:16" x14ac:dyDescent="0.25">
      <c r="J29" s="34"/>
      <c r="M29" s="34"/>
    </row>
    <row r="30" spans="1:16" x14ac:dyDescent="0.25">
      <c r="J30" s="34"/>
      <c r="M30" s="34"/>
    </row>
    <row r="31" spans="1:16" x14ac:dyDescent="0.25">
      <c r="J31" s="34"/>
      <c r="M31" s="34"/>
    </row>
    <row r="32" spans="1:16" x14ac:dyDescent="0.25">
      <c r="J32" s="34"/>
      <c r="M32" s="34"/>
    </row>
    <row r="33" s="34" customFormat="1" x14ac:dyDescent="0.25"/>
    <row r="34" s="34" customFormat="1" x14ac:dyDescent="0.25"/>
    <row r="35" s="34" customFormat="1" x14ac:dyDescent="0.25"/>
    <row r="36" s="34" customFormat="1" x14ac:dyDescent="0.25"/>
    <row r="37" s="34" customFormat="1" x14ac:dyDescent="0.25"/>
    <row r="38" s="34" customFormat="1" x14ac:dyDescent="0.25"/>
    <row r="39" s="34" customFormat="1" x14ac:dyDescent="0.25"/>
    <row r="40" s="34" customFormat="1" x14ac:dyDescent="0.25"/>
  </sheetData>
  <mergeCells count="43">
    <mergeCell ref="I22:I23"/>
    <mergeCell ref="L22:L23"/>
    <mergeCell ref="O22:O23"/>
    <mergeCell ref="H18:P18"/>
    <mergeCell ref="H19:J19"/>
    <mergeCell ref="K19:M19"/>
    <mergeCell ref="N19:P19"/>
    <mergeCell ref="I20:I21"/>
    <mergeCell ref="J20:J23"/>
    <mergeCell ref="L20:L21"/>
    <mergeCell ref="M20:M23"/>
    <mergeCell ref="O20:O21"/>
    <mergeCell ref="P20:P23"/>
    <mergeCell ref="A16:G16"/>
    <mergeCell ref="A18:A19"/>
    <mergeCell ref="B18:B19"/>
    <mergeCell ref="C18:C19"/>
    <mergeCell ref="D18:D19"/>
    <mergeCell ref="E18:E19"/>
    <mergeCell ref="F18:F19"/>
    <mergeCell ref="G18:G19"/>
    <mergeCell ref="I12:I13"/>
    <mergeCell ref="L10:L11"/>
    <mergeCell ref="L12:L13"/>
    <mergeCell ref="O10:O11"/>
    <mergeCell ref="O12:O13"/>
    <mergeCell ref="I10:I11"/>
    <mergeCell ref="A6:G6"/>
    <mergeCell ref="D1:M4"/>
    <mergeCell ref="M10:M13"/>
    <mergeCell ref="N9:P9"/>
    <mergeCell ref="P10:P13"/>
    <mergeCell ref="K9:M9"/>
    <mergeCell ref="F8:F9"/>
    <mergeCell ref="G8:G9"/>
    <mergeCell ref="H8:P8"/>
    <mergeCell ref="J10:J13"/>
    <mergeCell ref="A8:A9"/>
    <mergeCell ref="B8:B9"/>
    <mergeCell ref="C8:C9"/>
    <mergeCell ref="D8:D9"/>
    <mergeCell ref="E8:E9"/>
    <mergeCell ref="H9:J9"/>
  </mergeCells>
  <printOptions horizontalCentered="1"/>
  <pageMargins left="0.78740157480314965" right="0.78740157480314965" top="0.78740157480314965" bottom="0.78740157480314965" header="0" footer="0.39370078740157483"/>
  <pageSetup scale="40" orientation="landscape" r:id="rId1"/>
  <headerFooter>
    <oddFooter>&amp;C&amp;G&amp;R&amp;P de &amp;N</oddFooter>
  </headerFooter>
  <colBreaks count="1" manualBreakCount="1">
    <brk id="16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"/>
  <sheetViews>
    <sheetView showGridLines="0" zoomScaleNormal="100" workbookViewId="0">
      <pane ySplit="8" topLeftCell="A9" activePane="bottomLeft" state="frozen"/>
      <selection activeCell="A11" sqref="A11"/>
      <selection pane="bottomLeft" activeCell="AC12" sqref="AC12"/>
    </sheetView>
  </sheetViews>
  <sheetFormatPr baseColWidth="10" defaultRowHeight="15" x14ac:dyDescent="0.25"/>
  <cols>
    <col min="1" max="1" width="9.85546875" style="65" customWidth="1"/>
    <col min="2" max="3" width="21" style="65" customWidth="1"/>
    <col min="4" max="4" width="9.85546875" style="65" customWidth="1"/>
    <col min="5" max="5" width="13.28515625" style="65" customWidth="1"/>
    <col min="6" max="6" width="16.7109375" style="65" bestFit="1" customWidth="1"/>
    <col min="7" max="7" width="21" style="65" customWidth="1"/>
    <col min="8" max="8" width="11.7109375" style="65" bestFit="1" customWidth="1"/>
    <col min="9" max="9" width="14.42578125" style="65" customWidth="1"/>
    <col min="10" max="10" width="20.28515625" style="65" customWidth="1"/>
    <col min="11" max="11" width="14.85546875" style="65" customWidth="1"/>
    <col min="12" max="12" width="15.42578125" style="65" customWidth="1"/>
    <col min="13" max="13" width="19.28515625" style="65" customWidth="1"/>
    <col min="14" max="14" width="17.5703125" style="65" bestFit="1" customWidth="1"/>
    <col min="15" max="15" width="19.28515625" style="65" customWidth="1"/>
    <col min="16" max="16" width="15.85546875" style="65" customWidth="1"/>
    <col min="17" max="17" width="17.7109375" style="65" customWidth="1"/>
    <col min="18" max="18" width="16.7109375" style="65" bestFit="1" customWidth="1"/>
    <col min="19" max="19" width="52" style="65" customWidth="1"/>
    <col min="20" max="20" width="14.28515625" style="65" customWidth="1"/>
    <col min="21" max="21" width="92.7109375" style="65" customWidth="1"/>
    <col min="22" max="26" width="24.7109375" style="65" customWidth="1"/>
    <col min="27" max="27" width="12" style="65" bestFit="1" customWidth="1"/>
    <col min="28" max="28" width="16.42578125" style="65" customWidth="1"/>
    <col min="29" max="29" width="15" style="65" bestFit="1" customWidth="1"/>
    <col min="30" max="30" width="16.42578125" style="65" bestFit="1" customWidth="1"/>
    <col min="31" max="31" width="12.85546875" style="65" customWidth="1"/>
    <col min="32" max="32" width="23.28515625" style="65" customWidth="1"/>
    <col min="33" max="16384" width="11.42578125" style="65"/>
  </cols>
  <sheetData>
    <row r="1" spans="1:32" s="61" customFormat="1" ht="11.25" x14ac:dyDescent="0.2">
      <c r="F1" s="88" t="s">
        <v>224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AE1" s="62" t="s">
        <v>199</v>
      </c>
      <c r="AF1" s="54" t="s">
        <v>223</v>
      </c>
    </row>
    <row r="2" spans="1:32" s="61" customFormat="1" ht="11.25" x14ac:dyDescent="0.2"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D2" s="50"/>
      <c r="AE2" s="62" t="s">
        <v>200</v>
      </c>
      <c r="AF2" s="54">
        <v>2</v>
      </c>
    </row>
    <row r="3" spans="1:32" s="61" customFormat="1" ht="11.25" x14ac:dyDescent="0.2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AD3" s="63"/>
      <c r="AE3" s="53" t="s">
        <v>256</v>
      </c>
      <c r="AF3" s="55">
        <v>44895</v>
      </c>
    </row>
    <row r="4" spans="1:32" s="61" customFormat="1" ht="11.25" x14ac:dyDescent="0.2"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D4" s="50"/>
      <c r="AE4" s="62" t="s">
        <v>201</v>
      </c>
      <c r="AF4" s="54" t="s">
        <v>202</v>
      </c>
    </row>
    <row r="5" spans="1:32" s="61" customFormat="1" ht="11.25" x14ac:dyDescent="0.2"/>
    <row r="6" spans="1:32" s="24" customFormat="1" x14ac:dyDescent="0.25">
      <c r="A6" s="25"/>
      <c r="B6" s="25"/>
      <c r="C6" s="2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64"/>
      <c r="R6" s="64"/>
      <c r="S6" s="64"/>
      <c r="T6" s="64"/>
      <c r="U6" s="64"/>
      <c r="V6" s="114" t="s">
        <v>116</v>
      </c>
      <c r="W6" s="114"/>
      <c r="X6" s="114"/>
      <c r="Y6" s="114"/>
      <c r="Z6" s="114"/>
      <c r="AA6" s="114" t="s">
        <v>114</v>
      </c>
      <c r="AB6" s="114"/>
      <c r="AC6" s="114"/>
      <c r="AD6" s="114"/>
      <c r="AE6" s="114"/>
    </row>
    <row r="7" spans="1:32" s="24" customFormat="1" x14ac:dyDescent="0.25">
      <c r="A7" s="25"/>
      <c r="B7" s="25"/>
      <c r="C7" s="2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64"/>
      <c r="R7" s="64"/>
      <c r="S7" s="64"/>
      <c r="T7" s="64"/>
      <c r="U7" s="64"/>
      <c r="V7" s="115" t="s">
        <v>42</v>
      </c>
      <c r="W7" s="115"/>
      <c r="X7" s="115" t="s">
        <v>43</v>
      </c>
      <c r="Y7" s="115"/>
      <c r="Z7" s="27" t="s">
        <v>113</v>
      </c>
      <c r="AA7" s="114"/>
      <c r="AB7" s="114"/>
      <c r="AC7" s="114"/>
      <c r="AD7" s="114"/>
      <c r="AE7" s="114"/>
    </row>
    <row r="8" spans="1:32" s="60" customFormat="1" ht="33.75" x14ac:dyDescent="0.25">
      <c r="A8" s="58" t="s">
        <v>1</v>
      </c>
      <c r="B8" s="58" t="s">
        <v>8</v>
      </c>
      <c r="C8" s="58" t="s">
        <v>14</v>
      </c>
      <c r="D8" s="58" t="s">
        <v>45</v>
      </c>
      <c r="E8" s="58" t="s">
        <v>242</v>
      </c>
      <c r="F8" s="58" t="s">
        <v>2</v>
      </c>
      <c r="G8" s="58" t="s">
        <v>234</v>
      </c>
      <c r="H8" s="58" t="s">
        <v>13</v>
      </c>
      <c r="I8" s="58" t="s">
        <v>76</v>
      </c>
      <c r="J8" s="58" t="s">
        <v>75</v>
      </c>
      <c r="K8" s="58" t="s">
        <v>60</v>
      </c>
      <c r="L8" s="58" t="s">
        <v>61</v>
      </c>
      <c r="M8" s="58" t="s">
        <v>62</v>
      </c>
      <c r="N8" s="58" t="s">
        <v>74</v>
      </c>
      <c r="O8" s="58" t="s">
        <v>59</v>
      </c>
      <c r="P8" s="58" t="s">
        <v>0</v>
      </c>
      <c r="Q8" s="58" t="s">
        <v>11</v>
      </c>
      <c r="R8" s="58" t="s">
        <v>195</v>
      </c>
      <c r="S8" s="58" t="s">
        <v>196</v>
      </c>
      <c r="T8" s="58" t="s">
        <v>204</v>
      </c>
      <c r="U8" s="58" t="s">
        <v>197</v>
      </c>
      <c r="V8" s="58" t="s">
        <v>235</v>
      </c>
      <c r="W8" s="58" t="s">
        <v>236</v>
      </c>
      <c r="X8" s="59" t="s">
        <v>118</v>
      </c>
      <c r="Y8" s="59" t="s">
        <v>119</v>
      </c>
      <c r="Z8" s="59" t="s">
        <v>120</v>
      </c>
      <c r="AA8" s="59" t="s">
        <v>3</v>
      </c>
      <c r="AB8" s="59" t="s">
        <v>4</v>
      </c>
      <c r="AC8" s="59" t="s">
        <v>44</v>
      </c>
      <c r="AD8" s="59" t="s">
        <v>9</v>
      </c>
      <c r="AE8" s="59" t="s">
        <v>10</v>
      </c>
      <c r="AF8" s="58" t="s">
        <v>5</v>
      </c>
    </row>
    <row r="9" spans="1:32" s="4" customFormat="1" x14ac:dyDescent="0.25">
      <c r="A9" s="19"/>
      <c r="B9" s="19"/>
      <c r="C9" s="1"/>
      <c r="D9" s="19"/>
      <c r="E9" s="19"/>
      <c r="F9" s="22"/>
      <c r="G9" s="22"/>
      <c r="H9" s="19"/>
      <c r="I9" s="19"/>
      <c r="J9" s="19"/>
      <c r="K9" s="19"/>
      <c r="L9" s="19"/>
      <c r="M9" s="19"/>
      <c r="N9" s="19"/>
      <c r="O9" s="19"/>
      <c r="P9" s="19"/>
      <c r="Q9" s="19"/>
      <c r="R9" s="56"/>
      <c r="S9" s="19"/>
      <c r="T9" s="19"/>
      <c r="U9" s="19"/>
      <c r="V9" s="19"/>
      <c r="W9" s="57"/>
      <c r="X9" s="19"/>
      <c r="Y9" s="23"/>
      <c r="Z9" s="19"/>
      <c r="AA9" s="19"/>
      <c r="AB9" s="19"/>
      <c r="AC9" s="19"/>
      <c r="AD9" s="19"/>
      <c r="AE9" s="19"/>
      <c r="AF9" s="19"/>
    </row>
    <row r="10" spans="1:32" s="4" customFormat="1" x14ac:dyDescent="0.25">
      <c r="A10" s="19"/>
      <c r="B10" s="19"/>
      <c r="C10" s="1"/>
      <c r="D10" s="19"/>
      <c r="E10" s="19"/>
      <c r="F10" s="22"/>
      <c r="G10" s="2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56"/>
      <c r="S10" s="19"/>
      <c r="T10" s="19"/>
      <c r="U10" s="19"/>
      <c r="V10" s="19"/>
      <c r="W10" s="57"/>
      <c r="X10" s="19"/>
      <c r="Y10" s="23"/>
      <c r="Z10" s="19"/>
      <c r="AA10" s="19"/>
      <c r="AB10" s="19"/>
      <c r="AC10" s="19"/>
      <c r="AD10" s="19"/>
      <c r="AE10" s="19"/>
      <c r="AF10" s="19"/>
    </row>
    <row r="11" spans="1:32" s="4" customFormat="1" x14ac:dyDescent="0.25">
      <c r="A11" s="1"/>
      <c r="B11" s="19"/>
      <c r="C11" s="1"/>
      <c r="D11" s="19"/>
      <c r="E11" s="19"/>
      <c r="F11" s="22"/>
      <c r="G11" s="2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56"/>
      <c r="S11" s="19"/>
      <c r="T11" s="19"/>
      <c r="U11" s="19"/>
      <c r="V11" s="19"/>
      <c r="W11" s="23"/>
      <c r="X11" s="19"/>
      <c r="Y11" s="23"/>
      <c r="Z11" s="19"/>
      <c r="AA11" s="19"/>
      <c r="AB11" s="19"/>
      <c r="AC11" s="19"/>
      <c r="AD11" s="19"/>
      <c r="AE11" s="19"/>
      <c r="AF11" s="19"/>
    </row>
    <row r="12" spans="1:32" s="4" customFormat="1" x14ac:dyDescent="0.25">
      <c r="A12" s="1"/>
      <c r="B12" s="19"/>
      <c r="C12" s="1"/>
      <c r="D12" s="19"/>
      <c r="E12" s="19"/>
      <c r="F12" s="22"/>
      <c r="G12" s="2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56"/>
      <c r="S12" s="19"/>
      <c r="T12" s="19"/>
      <c r="U12" s="19"/>
      <c r="V12" s="19"/>
      <c r="W12" s="23"/>
      <c r="X12" s="19"/>
      <c r="Y12" s="23"/>
      <c r="Z12" s="19"/>
      <c r="AA12" s="19"/>
      <c r="AB12" s="19"/>
      <c r="AC12" s="19"/>
      <c r="AD12" s="19"/>
      <c r="AE12" s="19"/>
      <c r="AF12" s="19"/>
    </row>
    <row r="13" spans="1:32" s="4" customFormat="1" x14ac:dyDescent="0.25">
      <c r="A13" s="1"/>
      <c r="B13" s="19"/>
      <c r="C13" s="1"/>
      <c r="D13" s="19"/>
      <c r="E13" s="19"/>
      <c r="F13" s="22"/>
      <c r="G13" s="2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3"/>
      <c r="X13" s="19"/>
      <c r="Y13" s="23"/>
      <c r="Z13" s="19"/>
      <c r="AA13" s="19"/>
      <c r="AB13" s="19"/>
      <c r="AC13" s="19"/>
      <c r="AD13" s="19"/>
      <c r="AE13" s="19"/>
      <c r="AF13" s="19"/>
    </row>
    <row r="14" spans="1:32" s="4" customFormat="1" x14ac:dyDescent="0.25">
      <c r="A14" s="1"/>
      <c r="B14" s="19"/>
      <c r="C14" s="1"/>
      <c r="D14" s="19"/>
      <c r="E14" s="19"/>
      <c r="F14" s="22"/>
      <c r="G14" s="2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3"/>
      <c r="X14" s="19"/>
      <c r="Y14" s="23"/>
      <c r="Z14" s="19"/>
      <c r="AA14" s="19"/>
      <c r="AB14" s="19"/>
      <c r="AC14" s="19"/>
      <c r="AD14" s="19"/>
      <c r="AE14" s="19"/>
      <c r="AF14" s="19"/>
    </row>
  </sheetData>
  <autoFilter ref="A8:AF13" xr:uid="{00000000-0009-0000-0000-000001000000}"/>
  <mergeCells count="5">
    <mergeCell ref="F1:Y4"/>
    <mergeCell ref="V6:Z6"/>
    <mergeCell ref="AA6:AE7"/>
    <mergeCell ref="V7:W7"/>
    <mergeCell ref="X7:Y7"/>
  </mergeCells>
  <conditionalFormatting sqref="AA8:AE8 A10:D10 O10:Z10 L10:M10 A11:C14 Q11:S13 AF10:AF14 D11:D12 F11:H14 O11:O14 V11:Z14 J11:M14 AA11:AD13 F10:I10">
    <cfRule type="containsText" dxfId="217" priority="92" operator="containsText" text="SIN INFO">
      <formula>NOT(ISERROR(SEARCH("SIN INFO",A8)))</formula>
    </cfRule>
  </conditionalFormatting>
  <conditionalFormatting sqref="AA8 AA11:AD13">
    <cfRule type="containsText" dxfId="216" priority="91" stopIfTrue="1" operator="containsText" text="NO">
      <formula>NOT(ISERROR(SEARCH("NO",AA8)))</formula>
    </cfRule>
  </conditionalFormatting>
  <conditionalFormatting sqref="AA8:AE8">
    <cfRule type="containsText" dxfId="215" priority="90" operator="containsText" text="SIN INFO">
      <formula>NOT(ISERROR(SEARCH("SIN INFO",AA8)))</formula>
    </cfRule>
  </conditionalFormatting>
  <conditionalFormatting sqref="AA8">
    <cfRule type="containsText" dxfId="214" priority="89" stopIfTrue="1" operator="containsText" text="NO">
      <formula>NOT(ISERROR(SEARCH("NO",AA8)))</formula>
    </cfRule>
  </conditionalFormatting>
  <conditionalFormatting sqref="J10">
    <cfRule type="containsText" dxfId="213" priority="84" operator="containsText" text="SIN INFO">
      <formula>NOT(ISERROR(SEARCH("SIN INFO",J10)))</formula>
    </cfRule>
  </conditionalFormatting>
  <conditionalFormatting sqref="K10">
    <cfRule type="containsText" dxfId="212" priority="83" operator="containsText" text="SIN INFO">
      <formula>NOT(ISERROR(SEARCH("SIN INFO",K10)))</formula>
    </cfRule>
  </conditionalFormatting>
  <conditionalFormatting sqref="N10">
    <cfRule type="containsText" dxfId="211" priority="82" operator="containsText" text="SIN INFO">
      <formula>NOT(ISERROR(SEARCH("SIN INFO",N10)))</formula>
    </cfRule>
  </conditionalFormatting>
  <conditionalFormatting sqref="N10">
    <cfRule type="containsText" dxfId="210" priority="81" operator="containsText" text="SIN INFO">
      <formula>NOT(ISERROR(SEARCH("SIN INFO",N10)))</formula>
    </cfRule>
  </conditionalFormatting>
  <conditionalFormatting sqref="N10">
    <cfRule type="containsText" dxfId="209" priority="80" operator="containsText" text="SIN INFO">
      <formula>NOT(ISERROR(SEARCH("SIN INFO",N10)))</formula>
    </cfRule>
  </conditionalFormatting>
  <conditionalFormatting sqref="P14:U14">
    <cfRule type="containsText" dxfId="208" priority="79" operator="containsText" text="SIN INFO">
      <formula>NOT(ISERROR(SEARCH("SIN INFO",P14)))</formula>
    </cfRule>
  </conditionalFormatting>
  <conditionalFormatting sqref="P14:U14">
    <cfRule type="containsText" dxfId="207" priority="78" operator="containsText" text="SIN INFO">
      <formula>NOT(ISERROR(SEARCH("SIN INFO",P14)))</formula>
    </cfRule>
  </conditionalFormatting>
  <conditionalFormatting sqref="P14">
    <cfRule type="containsText" dxfId="206" priority="77" operator="containsText" text="SIN INFO">
      <formula>NOT(ISERROR(SEARCH("SIN INFO",P14)))</formula>
    </cfRule>
  </conditionalFormatting>
  <conditionalFormatting sqref="P14">
    <cfRule type="containsText" dxfId="205" priority="76" operator="containsText" text="SIN INFO">
      <formula>NOT(ISERROR(SEARCH("SIN INFO",P14)))</formula>
    </cfRule>
  </conditionalFormatting>
  <conditionalFormatting sqref="P14">
    <cfRule type="containsText" dxfId="204" priority="75" operator="containsText" text="SIN INFO">
      <formula>NOT(ISERROR(SEARCH("SIN INFO",P14)))</formula>
    </cfRule>
  </conditionalFormatting>
  <conditionalFormatting sqref="P14">
    <cfRule type="containsText" dxfId="203" priority="74" operator="containsText" text="SIN INFO">
      <formula>NOT(ISERROR(SEARCH("SIN INFO",P14)))</formula>
    </cfRule>
  </conditionalFormatting>
  <conditionalFormatting sqref="N14">
    <cfRule type="containsText" dxfId="202" priority="73" operator="containsText" text="SIN INFO">
      <formula>NOT(ISERROR(SEARCH("SIN INFO",N14)))</formula>
    </cfRule>
  </conditionalFormatting>
  <conditionalFormatting sqref="N14">
    <cfRule type="containsText" dxfId="201" priority="72" operator="containsText" text="SIN INFO">
      <formula>NOT(ISERROR(SEARCH("SIN INFO",N14)))</formula>
    </cfRule>
  </conditionalFormatting>
  <conditionalFormatting sqref="D13:D14">
    <cfRule type="containsText" dxfId="200" priority="71" operator="containsText" text="SIN INFO">
      <formula>NOT(ISERROR(SEARCH("SIN INFO",D13)))</formula>
    </cfRule>
  </conditionalFormatting>
  <conditionalFormatting sqref="D13:D14">
    <cfRule type="containsText" dxfId="199" priority="70" operator="containsText" text="SIN INFO">
      <formula>NOT(ISERROR(SEARCH("SIN INFO",D13)))</formula>
    </cfRule>
  </conditionalFormatting>
  <conditionalFormatting sqref="D13:D14">
    <cfRule type="containsText" dxfId="198" priority="69" operator="containsText" text="SIN INFO">
      <formula>NOT(ISERROR(SEARCH("SIN INFO",D13)))</formula>
    </cfRule>
  </conditionalFormatting>
  <conditionalFormatting sqref="AA14:AD14">
    <cfRule type="containsText" dxfId="197" priority="68" operator="containsText" text="SIN INFO">
      <formula>NOT(ISERROR(SEARCH("SIN INFO",AA14)))</formula>
    </cfRule>
  </conditionalFormatting>
  <conditionalFormatting sqref="AA14:AD14">
    <cfRule type="containsText" dxfId="196" priority="67" stopIfTrue="1" operator="containsText" text="NO">
      <formula>NOT(ISERROR(SEARCH("NO",AA14)))</formula>
    </cfRule>
  </conditionalFormatting>
  <conditionalFormatting sqref="AA14:AD14">
    <cfRule type="containsText" dxfId="195" priority="66" operator="containsText" text="SIN INFO">
      <formula>NOT(ISERROR(SEARCH("SIN INFO",AA14)))</formula>
    </cfRule>
  </conditionalFormatting>
  <conditionalFormatting sqref="AA14:AD14">
    <cfRule type="containsText" dxfId="194" priority="65" stopIfTrue="1" operator="containsText" text="NO">
      <formula>NOT(ISERROR(SEARCH("NO",AA14)))</formula>
    </cfRule>
  </conditionalFormatting>
  <conditionalFormatting sqref="I11:I14">
    <cfRule type="containsText" dxfId="193" priority="64" operator="containsText" text="SIN INFO">
      <formula>NOT(ISERROR(SEARCH("SIN INFO",I11)))</formula>
    </cfRule>
  </conditionalFormatting>
  <conditionalFormatting sqref="I11:I14">
    <cfRule type="containsText" dxfId="192" priority="63" operator="containsText" text="SIN INFO">
      <formula>NOT(ISERROR(SEARCH("SIN INFO",I11)))</formula>
    </cfRule>
  </conditionalFormatting>
  <conditionalFormatting sqref="N11">
    <cfRule type="containsText" dxfId="191" priority="62" operator="containsText" text="SIN INFO">
      <formula>NOT(ISERROR(SEARCH("SIN INFO",N11)))</formula>
    </cfRule>
  </conditionalFormatting>
  <conditionalFormatting sqref="N11">
    <cfRule type="containsText" dxfId="190" priority="61" operator="containsText" text="SIN INFO">
      <formula>NOT(ISERROR(SEARCH("SIN INFO",N11)))</formula>
    </cfRule>
  </conditionalFormatting>
  <conditionalFormatting sqref="N11">
    <cfRule type="containsText" dxfId="189" priority="60" operator="containsText" text="SIN INFO">
      <formula>NOT(ISERROR(SEARCH("SIN INFO",N11)))</formula>
    </cfRule>
  </conditionalFormatting>
  <conditionalFormatting sqref="P11">
    <cfRule type="containsText" dxfId="188" priority="59" operator="containsText" text="SIN INFO">
      <formula>NOT(ISERROR(SEARCH("SIN INFO",P11)))</formula>
    </cfRule>
  </conditionalFormatting>
  <conditionalFormatting sqref="P11">
    <cfRule type="containsText" dxfId="187" priority="58" operator="containsText" text="SIN INFO">
      <formula>NOT(ISERROR(SEARCH("SIN INFO",P11)))</formula>
    </cfRule>
  </conditionalFormatting>
  <conditionalFormatting sqref="P11">
    <cfRule type="containsText" dxfId="186" priority="57" operator="containsText" text="SIN INFO">
      <formula>NOT(ISERROR(SEARCH("SIN INFO",P11)))</formula>
    </cfRule>
  </conditionalFormatting>
  <conditionalFormatting sqref="P11">
    <cfRule type="containsText" dxfId="185" priority="56" operator="containsText" text="SIN INFO">
      <formula>NOT(ISERROR(SEARCH("SIN INFO",P11)))</formula>
    </cfRule>
  </conditionalFormatting>
  <conditionalFormatting sqref="P11">
    <cfRule type="containsText" dxfId="184" priority="55" operator="containsText" text="SIN INFO">
      <formula>NOT(ISERROR(SEARCH("SIN INFO",P11)))</formula>
    </cfRule>
  </conditionalFormatting>
  <conditionalFormatting sqref="P11">
    <cfRule type="containsText" dxfId="183" priority="54" operator="containsText" text="SIN INFO">
      <formula>NOT(ISERROR(SEARCH("SIN INFO",P11)))</formula>
    </cfRule>
  </conditionalFormatting>
  <conditionalFormatting sqref="T11:U11">
    <cfRule type="containsText" dxfId="182" priority="53" operator="containsText" text="SIN INFO">
      <formula>NOT(ISERROR(SEARCH("SIN INFO",T11)))</formula>
    </cfRule>
  </conditionalFormatting>
  <conditionalFormatting sqref="T11:U11">
    <cfRule type="containsText" dxfId="181" priority="52" operator="containsText" text="SIN INFO">
      <formula>NOT(ISERROR(SEARCH("SIN INFO",T11)))</formula>
    </cfRule>
  </conditionalFormatting>
  <conditionalFormatting sqref="N12">
    <cfRule type="containsText" dxfId="180" priority="51" operator="containsText" text="SIN INFO">
      <formula>NOT(ISERROR(SEARCH("SIN INFO",N12)))</formula>
    </cfRule>
  </conditionalFormatting>
  <conditionalFormatting sqref="N12">
    <cfRule type="containsText" dxfId="179" priority="50" operator="containsText" text="SIN INFO">
      <formula>NOT(ISERROR(SEARCH("SIN INFO",N12)))</formula>
    </cfRule>
  </conditionalFormatting>
  <conditionalFormatting sqref="N12">
    <cfRule type="containsText" dxfId="178" priority="49" operator="containsText" text="SIN INFO">
      <formula>NOT(ISERROR(SEARCH("SIN INFO",N12)))</formula>
    </cfRule>
  </conditionalFormatting>
  <conditionalFormatting sqref="P12">
    <cfRule type="containsText" dxfId="177" priority="48" operator="containsText" text="SIN INFO">
      <formula>NOT(ISERROR(SEARCH("SIN INFO",P12)))</formula>
    </cfRule>
  </conditionalFormatting>
  <conditionalFormatting sqref="P12">
    <cfRule type="containsText" dxfId="176" priority="47" operator="containsText" text="SIN INFO">
      <formula>NOT(ISERROR(SEARCH("SIN INFO",P12)))</formula>
    </cfRule>
  </conditionalFormatting>
  <conditionalFormatting sqref="P12">
    <cfRule type="containsText" dxfId="175" priority="46" operator="containsText" text="SIN INFO">
      <formula>NOT(ISERROR(SEARCH("SIN INFO",P12)))</formula>
    </cfRule>
  </conditionalFormatting>
  <conditionalFormatting sqref="P12">
    <cfRule type="containsText" dxfId="174" priority="45" operator="containsText" text="SIN INFO">
      <formula>NOT(ISERROR(SEARCH("SIN INFO",P12)))</formula>
    </cfRule>
  </conditionalFormatting>
  <conditionalFormatting sqref="P12">
    <cfRule type="containsText" dxfId="173" priority="44" operator="containsText" text="SIN INFO">
      <formula>NOT(ISERROR(SEARCH("SIN INFO",P12)))</formula>
    </cfRule>
  </conditionalFormatting>
  <conditionalFormatting sqref="P12">
    <cfRule type="containsText" dxfId="172" priority="43" operator="containsText" text="SIN INFO">
      <formula>NOT(ISERROR(SEARCH("SIN INFO",P12)))</formula>
    </cfRule>
  </conditionalFormatting>
  <conditionalFormatting sqref="T12:U12">
    <cfRule type="containsText" dxfId="171" priority="42" operator="containsText" text="SIN INFO">
      <formula>NOT(ISERROR(SEARCH("SIN INFO",T12)))</formula>
    </cfRule>
  </conditionalFormatting>
  <conditionalFormatting sqref="T12:U12">
    <cfRule type="containsText" dxfId="170" priority="41" operator="containsText" text="SIN INFO">
      <formula>NOT(ISERROR(SEARCH("SIN INFO",T12)))</formula>
    </cfRule>
  </conditionalFormatting>
  <conditionalFormatting sqref="N13">
    <cfRule type="containsText" dxfId="169" priority="40" operator="containsText" text="SIN INFO">
      <formula>NOT(ISERROR(SEARCH("SIN INFO",N13)))</formula>
    </cfRule>
  </conditionalFormatting>
  <conditionalFormatting sqref="N13">
    <cfRule type="containsText" dxfId="168" priority="39" operator="containsText" text="SIN INFO">
      <formula>NOT(ISERROR(SEARCH("SIN INFO",N13)))</formula>
    </cfRule>
  </conditionalFormatting>
  <conditionalFormatting sqref="N13">
    <cfRule type="containsText" dxfId="167" priority="38" operator="containsText" text="SIN INFO">
      <formula>NOT(ISERROR(SEARCH("SIN INFO",N13)))</formula>
    </cfRule>
  </conditionalFormatting>
  <conditionalFormatting sqref="P13">
    <cfRule type="containsText" dxfId="166" priority="37" operator="containsText" text="SIN INFO">
      <formula>NOT(ISERROR(SEARCH("SIN INFO",P13)))</formula>
    </cfRule>
  </conditionalFormatting>
  <conditionalFormatting sqref="P13">
    <cfRule type="containsText" dxfId="165" priority="36" operator="containsText" text="SIN INFO">
      <formula>NOT(ISERROR(SEARCH("SIN INFO",P13)))</formula>
    </cfRule>
  </conditionalFormatting>
  <conditionalFormatting sqref="P13">
    <cfRule type="containsText" dxfId="164" priority="35" operator="containsText" text="SIN INFO">
      <formula>NOT(ISERROR(SEARCH("SIN INFO",P13)))</formula>
    </cfRule>
  </conditionalFormatting>
  <conditionalFormatting sqref="P13">
    <cfRule type="containsText" dxfId="163" priority="34" operator="containsText" text="SIN INFO">
      <formula>NOT(ISERROR(SEARCH("SIN INFO",P13)))</formula>
    </cfRule>
  </conditionalFormatting>
  <conditionalFormatting sqref="P13">
    <cfRule type="containsText" dxfId="162" priority="33" operator="containsText" text="SIN INFO">
      <formula>NOT(ISERROR(SEARCH("SIN INFO",P13)))</formula>
    </cfRule>
  </conditionalFormatting>
  <conditionalFormatting sqref="P13">
    <cfRule type="containsText" dxfId="161" priority="32" operator="containsText" text="SIN INFO">
      <formula>NOT(ISERROR(SEARCH("SIN INFO",P13)))</formula>
    </cfRule>
  </conditionalFormatting>
  <conditionalFormatting sqref="T13:U13">
    <cfRule type="containsText" dxfId="160" priority="31" operator="containsText" text="SIN INFO">
      <formula>NOT(ISERROR(SEARCH("SIN INFO",T13)))</formula>
    </cfRule>
  </conditionalFormatting>
  <conditionalFormatting sqref="T13:U13">
    <cfRule type="containsText" dxfId="159" priority="30" operator="containsText" text="SIN INFO">
      <formula>NOT(ISERROR(SEARCH("SIN INFO",T13)))</formula>
    </cfRule>
  </conditionalFormatting>
  <conditionalFormatting sqref="X7 V7">
    <cfRule type="containsText" dxfId="158" priority="29" operator="containsText" text="SIN INFO">
      <formula>NOT(ISERROR(SEARCH("SIN INFO",V7)))</formula>
    </cfRule>
  </conditionalFormatting>
  <conditionalFormatting sqref="AA10:AD10">
    <cfRule type="containsText" dxfId="157" priority="21" operator="containsText" text="SIN INFO">
      <formula>NOT(ISERROR(SEARCH("SIN INFO",AA10)))</formula>
    </cfRule>
  </conditionalFormatting>
  <conditionalFormatting sqref="AA10:AD10">
    <cfRule type="containsText" dxfId="156" priority="20" stopIfTrue="1" operator="containsText" text="NO">
      <formula>NOT(ISERROR(SEARCH("NO",AA10)))</formula>
    </cfRule>
  </conditionalFormatting>
  <conditionalFormatting sqref="A9:I9 O9:Z9 L9:M9 AF9 E10:E14">
    <cfRule type="containsText" dxfId="155" priority="19" operator="containsText" text="SIN INFO">
      <formula>NOT(ISERROR(SEARCH("SIN INFO",A9)))</formula>
    </cfRule>
  </conditionalFormatting>
  <conditionalFormatting sqref="J9">
    <cfRule type="containsText" dxfId="154" priority="18" operator="containsText" text="SIN INFO">
      <formula>NOT(ISERROR(SEARCH("SIN INFO",J9)))</formula>
    </cfRule>
  </conditionalFormatting>
  <conditionalFormatting sqref="K9">
    <cfRule type="containsText" dxfId="153" priority="17" operator="containsText" text="SIN INFO">
      <formula>NOT(ISERROR(SEARCH("SIN INFO",K9)))</formula>
    </cfRule>
  </conditionalFormatting>
  <conditionalFormatting sqref="N9">
    <cfRule type="containsText" dxfId="152" priority="16" operator="containsText" text="SIN INFO">
      <formula>NOT(ISERROR(SEARCH("SIN INFO",N9)))</formula>
    </cfRule>
  </conditionalFormatting>
  <conditionalFormatting sqref="N9">
    <cfRule type="containsText" dxfId="151" priority="15" operator="containsText" text="SIN INFO">
      <formula>NOT(ISERROR(SEARCH("SIN INFO",N9)))</formula>
    </cfRule>
  </conditionalFormatting>
  <conditionalFormatting sqref="N9">
    <cfRule type="containsText" dxfId="150" priority="14" operator="containsText" text="SIN INFO">
      <formula>NOT(ISERROR(SEARCH("SIN INFO",N9)))</formula>
    </cfRule>
  </conditionalFormatting>
  <conditionalFormatting sqref="AA9:AD9">
    <cfRule type="containsText" dxfId="149" priority="13" operator="containsText" text="SIN INFO">
      <formula>NOT(ISERROR(SEARCH("SIN INFO",AA9)))</formula>
    </cfRule>
  </conditionalFormatting>
  <conditionalFormatting sqref="AA9:AD9">
    <cfRule type="containsText" dxfId="148" priority="12" stopIfTrue="1" operator="containsText" text="NO">
      <formula>NOT(ISERROR(SEARCH("NO",AA9)))</formula>
    </cfRule>
  </conditionalFormatting>
  <dataValidations count="13">
    <dataValidation type="list" allowBlank="1" showInputMessage="1" showErrorMessage="1" sqref="G9:G10 AA9:AD14 T9:T13" xr:uid="{00000000-0002-0000-0100-000000000000}">
      <formula1>CONDICIONAL</formula1>
    </dataValidation>
    <dataValidation type="list" allowBlank="1" showInputMessage="1" showErrorMessage="1" sqref="H9:H14" xr:uid="{00000000-0002-0000-0100-000001000000}">
      <formula1>DIAS</formula1>
    </dataValidation>
    <dataValidation type="list" allowBlank="1" showInputMessage="1" showErrorMessage="1" sqref="I9:I14" xr:uid="{00000000-0002-0000-0100-000002000000}">
      <formula1>MES</formula1>
    </dataValidation>
    <dataValidation type="list" allowBlank="1" showInputMessage="1" showErrorMessage="1" sqref="V9:V14" xr:uid="{00000000-0002-0000-0100-000003000000}">
      <formula1>actossub</formula1>
    </dataValidation>
    <dataValidation type="list" allowBlank="1" showInputMessage="1" showErrorMessage="1" sqref="W9:W14" xr:uid="{00000000-0002-0000-0100-000004000000}">
      <formula1>condicionessub</formula1>
    </dataValidation>
    <dataValidation type="list" allowBlank="1" showInputMessage="1" showErrorMessage="1" sqref="X9:X14" xr:uid="{00000000-0002-0000-0100-000005000000}">
      <formula1>factoresper</formula1>
    </dataValidation>
    <dataValidation type="list" allowBlank="1" showInputMessage="1" showErrorMessage="1" sqref="Y9:Y14" xr:uid="{00000000-0002-0000-0100-000006000000}">
      <formula1>factorsis</formula1>
    </dataValidation>
    <dataValidation type="list" allowBlank="1" showInputMessage="1" showErrorMessage="1" sqref="AE9:AE14" xr:uid="{00000000-0002-0000-0100-000007000000}">
      <formula1>ESTADO</formula1>
    </dataValidation>
    <dataValidation type="list" allowBlank="1" showInputMessage="1" showErrorMessage="1" sqref="O9:O14" xr:uid="{00000000-0002-0000-0100-000008000000}">
      <formula1>CUERPO</formula1>
    </dataValidation>
    <dataValidation type="list" allowBlank="1" showInputMessage="1" showErrorMessage="1" sqref="D9:D14" xr:uid="{00000000-0002-0000-0100-000009000000}">
      <formula1>SEXO</formula1>
    </dataValidation>
    <dataValidation type="list" allowBlank="1" showInputMessage="1" showErrorMessage="1" sqref="L9:L14" xr:uid="{00000000-0002-0000-0100-00000A000000}">
      <formula1>LOCACIÓN</formula1>
    </dataValidation>
    <dataValidation type="list" allowBlank="1" showInputMessage="1" showErrorMessage="1" sqref="M9:M14" xr:uid="{00000000-0002-0000-0100-00000B000000}">
      <formula1>PELIGRO</formula1>
    </dataValidation>
    <dataValidation type="list" allowBlank="1" showInputMessage="1" showErrorMessage="1" sqref="Z9:Z14" xr:uid="{00000000-0002-0000-0100-00000C000000}">
      <formula1>faltacontrol</formula1>
    </dataValidation>
  </dataValidations>
  <pageMargins left="0.78740157480314965" right="0.78740157480314965" top="0.78740157480314965" bottom="0.78740157480314965" header="0" footer="0.39370078740157483"/>
  <pageSetup scale="50" orientation="landscape" r:id="rId1"/>
  <headerFooter>
    <oddFooter>&amp;C&amp;G&amp;R&amp;P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7"/>
  <sheetViews>
    <sheetView showGridLines="0" zoomScale="96" zoomScaleNormal="96" workbookViewId="0">
      <pane ySplit="8" topLeftCell="A9" activePane="bottomLeft" state="frozen"/>
      <selection activeCell="M21" sqref="M21"/>
      <selection pane="bottomLeft" activeCell="AE3" sqref="AE3"/>
    </sheetView>
  </sheetViews>
  <sheetFormatPr baseColWidth="10" defaultRowHeight="14.25" x14ac:dyDescent="0.2"/>
  <cols>
    <col min="1" max="1" width="14.42578125" style="30" customWidth="1"/>
    <col min="2" max="2" width="14.140625" style="30" bestFit="1" customWidth="1"/>
    <col min="3" max="3" width="15.42578125" style="30" bestFit="1" customWidth="1"/>
    <col min="4" max="4" width="14.5703125" style="30" bestFit="1" customWidth="1"/>
    <col min="5" max="5" width="16.7109375" style="30" bestFit="1" customWidth="1"/>
    <col min="6" max="6" width="22" style="30" customWidth="1"/>
    <col min="7" max="7" width="17.42578125" style="30" bestFit="1" customWidth="1"/>
    <col min="8" max="8" width="11.5703125" style="30" bestFit="1" customWidth="1"/>
    <col min="9" max="9" width="15.85546875" style="30" bestFit="1" customWidth="1"/>
    <col min="10" max="10" width="26.7109375" style="30" bestFit="1" customWidth="1"/>
    <col min="11" max="11" width="18.42578125" style="30" bestFit="1" customWidth="1"/>
    <col min="12" max="12" width="13" style="30" bestFit="1" customWidth="1"/>
    <col min="13" max="13" width="13.140625" style="30" customWidth="1"/>
    <col min="14" max="14" width="16.85546875" style="30" customWidth="1"/>
    <col min="15" max="15" width="18.28515625" style="30" customWidth="1"/>
    <col min="16" max="16" width="17" style="30" bestFit="1" customWidth="1"/>
    <col min="17" max="17" width="16.7109375" style="30" bestFit="1" customWidth="1"/>
    <col min="18" max="18" width="10.85546875" style="30" customWidth="1"/>
    <col min="19" max="19" width="17.7109375" style="30" bestFit="1" customWidth="1"/>
    <col min="20" max="20" width="18.85546875" style="30" bestFit="1" customWidth="1"/>
    <col min="21" max="21" width="17.28515625" style="30" bestFit="1" customWidth="1"/>
    <col min="22" max="22" width="18.85546875" style="30" bestFit="1" customWidth="1"/>
    <col min="23" max="23" width="15.5703125" style="30" bestFit="1" customWidth="1"/>
    <col min="24" max="24" width="21.42578125" style="30" customWidth="1"/>
    <col min="25" max="25" width="19.85546875" style="30" bestFit="1" customWidth="1"/>
    <col min="26" max="26" width="12" style="30" bestFit="1" customWidth="1"/>
    <col min="27" max="27" width="14.7109375" style="30" customWidth="1"/>
    <col min="28" max="28" width="15" style="30" bestFit="1" customWidth="1"/>
    <col min="29" max="29" width="16.42578125" style="30" bestFit="1" customWidth="1"/>
    <col min="30" max="30" width="14.5703125" style="30" bestFit="1" customWidth="1"/>
    <col min="31" max="31" width="33.7109375" style="30" customWidth="1"/>
    <col min="32" max="16384" width="11.42578125" style="30"/>
  </cols>
  <sheetData>
    <row r="1" spans="1:31" s="47" customFormat="1" ht="11.25" x14ac:dyDescent="0.2">
      <c r="E1" s="88" t="s">
        <v>224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AD1" s="53" t="s">
        <v>199</v>
      </c>
      <c r="AE1" s="54" t="s">
        <v>223</v>
      </c>
    </row>
    <row r="2" spans="1:31" s="47" customFormat="1" ht="11.25" x14ac:dyDescent="0.2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AC2" s="51"/>
      <c r="AD2" s="53" t="s">
        <v>200</v>
      </c>
      <c r="AE2" s="54">
        <v>2</v>
      </c>
    </row>
    <row r="3" spans="1:31" s="47" customFormat="1" ht="11.25" x14ac:dyDescent="0.2"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AC3" s="52"/>
      <c r="AD3" s="53" t="s">
        <v>256</v>
      </c>
      <c r="AE3" s="55">
        <v>44895</v>
      </c>
    </row>
    <row r="4" spans="1:31" s="47" customFormat="1" ht="11.25" x14ac:dyDescent="0.2"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AC4" s="51"/>
      <c r="AD4" s="53" t="s">
        <v>201</v>
      </c>
      <c r="AE4" s="54" t="s">
        <v>202</v>
      </c>
    </row>
    <row r="5" spans="1:31" s="47" customFormat="1" ht="11.25" x14ac:dyDescent="0.2">
      <c r="U5" s="122" t="s">
        <v>221</v>
      </c>
      <c r="V5" s="122"/>
      <c r="W5" s="122"/>
      <c r="X5" s="122"/>
      <c r="Y5" s="122"/>
    </row>
    <row r="6" spans="1:31" s="34" customFormat="1" ht="15" x14ac:dyDescent="0.25">
      <c r="A6" s="25"/>
      <c r="B6" s="25"/>
      <c r="C6" s="2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6"/>
      <c r="Q6" s="26"/>
      <c r="R6" s="26"/>
      <c r="S6" s="26"/>
      <c r="T6" s="26"/>
      <c r="U6" s="120" t="s">
        <v>116</v>
      </c>
      <c r="V6" s="120"/>
      <c r="W6" s="120"/>
      <c r="X6" s="120"/>
      <c r="Y6" s="120"/>
      <c r="Z6" s="120" t="s">
        <v>114</v>
      </c>
      <c r="AA6" s="120"/>
      <c r="AB6" s="120"/>
      <c r="AC6" s="120"/>
      <c r="AD6" s="120"/>
    </row>
    <row r="7" spans="1:31" s="34" customFormat="1" ht="85.5" x14ac:dyDescent="0.25">
      <c r="A7" s="25"/>
      <c r="B7" s="25"/>
      <c r="C7" s="25"/>
      <c r="D7" s="28"/>
      <c r="E7" s="28"/>
      <c r="F7" s="33" t="s">
        <v>209</v>
      </c>
      <c r="G7" s="119" t="s">
        <v>212</v>
      </c>
      <c r="H7" s="119"/>
      <c r="I7" s="119"/>
      <c r="J7" s="28"/>
      <c r="K7" s="119" t="s">
        <v>214</v>
      </c>
      <c r="L7" s="119"/>
      <c r="M7" s="28"/>
      <c r="N7" s="28"/>
      <c r="O7" s="28"/>
      <c r="P7" s="26"/>
      <c r="Q7" s="26"/>
      <c r="R7" s="26"/>
      <c r="S7" s="31" t="s">
        <v>219</v>
      </c>
      <c r="T7" s="26"/>
      <c r="U7" s="121" t="s">
        <v>42</v>
      </c>
      <c r="V7" s="121"/>
      <c r="W7" s="121" t="s">
        <v>43</v>
      </c>
      <c r="X7" s="121"/>
      <c r="Y7" s="35" t="s">
        <v>113</v>
      </c>
      <c r="Z7" s="120"/>
      <c r="AA7" s="120"/>
      <c r="AB7" s="120"/>
      <c r="AC7" s="120"/>
      <c r="AD7" s="120"/>
    </row>
    <row r="8" spans="1:31" s="37" customFormat="1" ht="75" x14ac:dyDescent="0.25">
      <c r="A8" s="36" t="s">
        <v>1</v>
      </c>
      <c r="B8" s="36" t="s">
        <v>8</v>
      </c>
      <c r="C8" s="36" t="s">
        <v>14</v>
      </c>
      <c r="D8" s="36" t="s">
        <v>45</v>
      </c>
      <c r="E8" s="36" t="s">
        <v>2</v>
      </c>
      <c r="F8" s="36" t="s">
        <v>12</v>
      </c>
      <c r="G8" s="36" t="s">
        <v>13</v>
      </c>
      <c r="H8" s="36" t="s">
        <v>76</v>
      </c>
      <c r="I8" s="36" t="s">
        <v>75</v>
      </c>
      <c r="J8" s="36" t="s">
        <v>60</v>
      </c>
      <c r="K8" s="36" t="s">
        <v>61</v>
      </c>
      <c r="L8" s="36" t="s">
        <v>62</v>
      </c>
      <c r="M8" s="36" t="s">
        <v>74</v>
      </c>
      <c r="N8" s="36" t="s">
        <v>59</v>
      </c>
      <c r="O8" s="36" t="s">
        <v>0</v>
      </c>
      <c r="P8" s="36" t="s">
        <v>11</v>
      </c>
      <c r="Q8" s="36" t="s">
        <v>195</v>
      </c>
      <c r="R8" s="36" t="s">
        <v>196</v>
      </c>
      <c r="S8" s="36" t="s">
        <v>204</v>
      </c>
      <c r="T8" s="36" t="s">
        <v>197</v>
      </c>
      <c r="U8" s="36" t="s">
        <v>115</v>
      </c>
      <c r="V8" s="36" t="s">
        <v>117</v>
      </c>
      <c r="W8" s="35" t="s">
        <v>118</v>
      </c>
      <c r="X8" s="35" t="s">
        <v>119</v>
      </c>
      <c r="Y8" s="35" t="s">
        <v>120</v>
      </c>
      <c r="Z8" s="35" t="s">
        <v>3</v>
      </c>
      <c r="AA8" s="35" t="s">
        <v>4</v>
      </c>
      <c r="AB8" s="35" t="s">
        <v>44</v>
      </c>
      <c r="AC8" s="35" t="s">
        <v>9</v>
      </c>
      <c r="AD8" s="35" t="s">
        <v>10</v>
      </c>
      <c r="AE8" s="36" t="s">
        <v>5</v>
      </c>
    </row>
    <row r="9" spans="1:31" s="42" customFormat="1" ht="45" customHeight="1" x14ac:dyDescent="0.25">
      <c r="A9" s="116" t="s">
        <v>205</v>
      </c>
      <c r="B9" s="116" t="s">
        <v>206</v>
      </c>
      <c r="C9" s="116" t="s">
        <v>207</v>
      </c>
      <c r="D9" s="38" t="s">
        <v>91</v>
      </c>
      <c r="E9" s="123" t="s">
        <v>208</v>
      </c>
      <c r="F9" s="39" t="s">
        <v>7</v>
      </c>
      <c r="G9" s="38" t="s">
        <v>46</v>
      </c>
      <c r="H9" s="38" t="s">
        <v>77</v>
      </c>
      <c r="I9" s="116" t="s">
        <v>210</v>
      </c>
      <c r="J9" s="116" t="s">
        <v>211</v>
      </c>
      <c r="K9" s="38" t="s">
        <v>54</v>
      </c>
      <c r="L9" s="38" t="s">
        <v>63</v>
      </c>
      <c r="M9" s="116" t="s">
        <v>213</v>
      </c>
      <c r="N9" s="40" t="s">
        <v>29</v>
      </c>
      <c r="O9" s="116" t="s">
        <v>215</v>
      </c>
      <c r="P9" s="116" t="s">
        <v>216</v>
      </c>
      <c r="Q9" s="116" t="s">
        <v>217</v>
      </c>
      <c r="R9" s="116" t="s">
        <v>218</v>
      </c>
      <c r="S9" s="38" t="s">
        <v>7</v>
      </c>
      <c r="T9" s="116" t="s">
        <v>220</v>
      </c>
      <c r="U9" s="38" t="s">
        <v>121</v>
      </c>
      <c r="V9" s="41" t="s">
        <v>133</v>
      </c>
      <c r="W9" s="38" t="s">
        <v>145</v>
      </c>
      <c r="X9" s="41" t="s">
        <v>152</v>
      </c>
      <c r="Y9" s="38" t="s">
        <v>160</v>
      </c>
      <c r="Z9" s="38" t="s">
        <v>7</v>
      </c>
      <c r="AA9" s="38" t="s">
        <v>7</v>
      </c>
      <c r="AB9" s="38" t="s">
        <v>7</v>
      </c>
      <c r="AC9" s="38" t="s">
        <v>7</v>
      </c>
      <c r="AD9" s="38" t="s">
        <v>56</v>
      </c>
      <c r="AE9" s="116" t="s">
        <v>222</v>
      </c>
    </row>
    <row r="10" spans="1:31" s="42" customFormat="1" ht="57" x14ac:dyDescent="0.25">
      <c r="A10" s="117"/>
      <c r="B10" s="117"/>
      <c r="C10" s="117"/>
      <c r="D10" s="38" t="s">
        <v>16</v>
      </c>
      <c r="E10" s="124"/>
      <c r="F10" s="39" t="s">
        <v>15</v>
      </c>
      <c r="G10" s="38" t="s">
        <v>47</v>
      </c>
      <c r="H10" s="38" t="s">
        <v>78</v>
      </c>
      <c r="I10" s="117"/>
      <c r="J10" s="117"/>
      <c r="K10" s="38" t="s">
        <v>22</v>
      </c>
      <c r="L10" s="38" t="s">
        <v>64</v>
      </c>
      <c r="M10" s="117"/>
      <c r="N10" s="38" t="s">
        <v>30</v>
      </c>
      <c r="O10" s="117"/>
      <c r="P10" s="117"/>
      <c r="Q10" s="117"/>
      <c r="R10" s="117"/>
      <c r="S10" s="38" t="s">
        <v>15</v>
      </c>
      <c r="T10" s="117"/>
      <c r="U10" s="38" t="s">
        <v>122</v>
      </c>
      <c r="V10" s="43" t="s">
        <v>134</v>
      </c>
      <c r="W10" s="38" t="s">
        <v>146</v>
      </c>
      <c r="X10" s="43" t="s">
        <v>153</v>
      </c>
      <c r="Y10" s="38" t="s">
        <v>161</v>
      </c>
      <c r="Z10" s="38" t="s">
        <v>15</v>
      </c>
      <c r="AA10" s="38" t="s">
        <v>15</v>
      </c>
      <c r="AB10" s="38" t="s">
        <v>15</v>
      </c>
      <c r="AC10" s="38" t="s">
        <v>15</v>
      </c>
      <c r="AD10" s="38" t="s">
        <v>57</v>
      </c>
      <c r="AE10" s="117"/>
    </row>
    <row r="11" spans="1:31" s="42" customFormat="1" ht="42.75" x14ac:dyDescent="0.25">
      <c r="A11" s="117"/>
      <c r="B11" s="117"/>
      <c r="C11" s="117"/>
      <c r="D11" s="38"/>
      <c r="E11" s="124"/>
      <c r="F11" s="39"/>
      <c r="G11" s="38" t="s">
        <v>48</v>
      </c>
      <c r="H11" s="38" t="s">
        <v>79</v>
      </c>
      <c r="I11" s="117"/>
      <c r="J11" s="117"/>
      <c r="K11" s="38" t="s">
        <v>24</v>
      </c>
      <c r="L11" s="38" t="s">
        <v>184</v>
      </c>
      <c r="M11" s="117"/>
      <c r="N11" s="38" t="s">
        <v>31</v>
      </c>
      <c r="O11" s="117"/>
      <c r="P11" s="117"/>
      <c r="Q11" s="117"/>
      <c r="R11" s="117"/>
      <c r="S11" s="38"/>
      <c r="T11" s="117"/>
      <c r="U11" s="38" t="s">
        <v>123</v>
      </c>
      <c r="V11" s="43" t="s">
        <v>135</v>
      </c>
      <c r="W11" s="38" t="s">
        <v>147</v>
      </c>
      <c r="X11" s="43" t="s">
        <v>154</v>
      </c>
      <c r="Y11" s="38" t="s">
        <v>163</v>
      </c>
      <c r="Z11" s="38"/>
      <c r="AA11" s="38"/>
      <c r="AB11" s="38"/>
      <c r="AC11" s="38"/>
      <c r="AD11" s="38" t="s">
        <v>58</v>
      </c>
      <c r="AE11" s="117"/>
    </row>
    <row r="12" spans="1:31" s="42" customFormat="1" ht="42.75" x14ac:dyDescent="0.25">
      <c r="A12" s="117"/>
      <c r="B12" s="117"/>
      <c r="C12" s="117"/>
      <c r="D12" s="38"/>
      <c r="E12" s="124"/>
      <c r="F12" s="39"/>
      <c r="G12" s="38" t="s">
        <v>49</v>
      </c>
      <c r="H12" s="38" t="s">
        <v>80</v>
      </c>
      <c r="I12" s="117"/>
      <c r="J12" s="117"/>
      <c r="K12" s="38" t="s">
        <v>25</v>
      </c>
      <c r="L12" s="38" t="s">
        <v>65</v>
      </c>
      <c r="M12" s="117"/>
      <c r="N12" s="38" t="s">
        <v>32</v>
      </c>
      <c r="O12" s="117"/>
      <c r="P12" s="117"/>
      <c r="Q12" s="117"/>
      <c r="R12" s="117"/>
      <c r="S12" s="38"/>
      <c r="T12" s="117"/>
      <c r="U12" s="38" t="s">
        <v>124</v>
      </c>
      <c r="V12" s="43" t="s">
        <v>136</v>
      </c>
      <c r="W12" s="38" t="s">
        <v>148</v>
      </c>
      <c r="X12" s="43" t="s">
        <v>155</v>
      </c>
      <c r="Y12" s="38" t="s">
        <v>164</v>
      </c>
      <c r="Z12" s="38"/>
      <c r="AA12" s="38"/>
      <c r="AB12" s="38"/>
      <c r="AC12" s="38"/>
      <c r="AD12" s="38"/>
      <c r="AE12" s="117"/>
    </row>
    <row r="13" spans="1:31" s="42" customFormat="1" ht="57" x14ac:dyDescent="0.25">
      <c r="A13" s="117"/>
      <c r="B13" s="117"/>
      <c r="C13" s="117"/>
      <c r="D13" s="38"/>
      <c r="E13" s="124"/>
      <c r="F13" s="39"/>
      <c r="G13" s="38" t="s">
        <v>50</v>
      </c>
      <c r="H13" s="38" t="s">
        <v>81</v>
      </c>
      <c r="I13" s="117"/>
      <c r="J13" s="117"/>
      <c r="K13" s="38" t="s">
        <v>55</v>
      </c>
      <c r="L13" s="38" t="s">
        <v>66</v>
      </c>
      <c r="M13" s="117"/>
      <c r="N13" s="38" t="s">
        <v>33</v>
      </c>
      <c r="O13" s="117"/>
      <c r="P13" s="117"/>
      <c r="Q13" s="117"/>
      <c r="R13" s="117"/>
      <c r="S13" s="38"/>
      <c r="T13" s="117"/>
      <c r="U13" s="38" t="s">
        <v>185</v>
      </c>
      <c r="V13" s="43" t="s">
        <v>137</v>
      </c>
      <c r="W13" s="38" t="s">
        <v>149</v>
      </c>
      <c r="X13" s="43" t="s">
        <v>156</v>
      </c>
      <c r="Y13" s="38" t="s">
        <v>165</v>
      </c>
      <c r="Z13" s="38"/>
      <c r="AA13" s="38"/>
      <c r="AB13" s="38"/>
      <c r="AC13" s="38"/>
      <c r="AD13" s="38"/>
      <c r="AE13" s="117"/>
    </row>
    <row r="14" spans="1:31" s="42" customFormat="1" ht="57" x14ac:dyDescent="0.25">
      <c r="A14" s="117"/>
      <c r="B14" s="117"/>
      <c r="C14" s="117"/>
      <c r="D14" s="38"/>
      <c r="E14" s="124"/>
      <c r="F14" s="39"/>
      <c r="G14" s="38" t="s">
        <v>6</v>
      </c>
      <c r="H14" s="38" t="s">
        <v>82</v>
      </c>
      <c r="I14" s="117"/>
      <c r="J14" s="117"/>
      <c r="K14" s="38" t="s">
        <v>23</v>
      </c>
      <c r="L14" s="38" t="s">
        <v>67</v>
      </c>
      <c r="M14" s="117"/>
      <c r="N14" s="38" t="s">
        <v>34</v>
      </c>
      <c r="O14" s="117"/>
      <c r="P14" s="117"/>
      <c r="Q14" s="117"/>
      <c r="R14" s="117"/>
      <c r="S14" s="38"/>
      <c r="T14" s="117"/>
      <c r="U14" s="38" t="s">
        <v>125</v>
      </c>
      <c r="V14" s="43" t="s">
        <v>138</v>
      </c>
      <c r="W14" s="38" t="s">
        <v>150</v>
      </c>
      <c r="X14" s="43" t="s">
        <v>157</v>
      </c>
      <c r="Y14" s="38" t="s">
        <v>166</v>
      </c>
      <c r="Z14" s="38"/>
      <c r="AA14" s="38"/>
      <c r="AB14" s="38"/>
      <c r="AC14" s="38"/>
      <c r="AD14" s="38"/>
      <c r="AE14" s="117"/>
    </row>
    <row r="15" spans="1:31" s="42" customFormat="1" ht="42.75" x14ac:dyDescent="0.25">
      <c r="A15" s="118"/>
      <c r="B15" s="118"/>
      <c r="C15" s="118"/>
      <c r="D15" s="38"/>
      <c r="E15" s="125"/>
      <c r="F15" s="39"/>
      <c r="G15" s="38" t="s">
        <v>51</v>
      </c>
      <c r="H15" s="38" t="s">
        <v>83</v>
      </c>
      <c r="I15" s="118"/>
      <c r="J15" s="118"/>
      <c r="K15" s="38" t="s">
        <v>194</v>
      </c>
      <c r="L15" s="38" t="s">
        <v>68</v>
      </c>
      <c r="M15" s="118"/>
      <c r="N15" s="38" t="s">
        <v>35</v>
      </c>
      <c r="O15" s="118"/>
      <c r="P15" s="118"/>
      <c r="Q15" s="118"/>
      <c r="R15" s="118"/>
      <c r="S15" s="38"/>
      <c r="T15" s="118"/>
      <c r="U15" s="38" t="s">
        <v>126</v>
      </c>
      <c r="V15" s="43" t="s">
        <v>139</v>
      </c>
      <c r="W15" s="38" t="s">
        <v>151</v>
      </c>
      <c r="X15" s="43" t="s">
        <v>158</v>
      </c>
      <c r="Y15" s="38" t="s">
        <v>167</v>
      </c>
      <c r="Z15" s="38"/>
      <c r="AA15" s="38"/>
      <c r="AB15" s="38"/>
      <c r="AC15" s="38"/>
      <c r="AD15" s="38"/>
      <c r="AE15" s="118"/>
    </row>
    <row r="16" spans="1:31" s="42" customFormat="1" ht="57" x14ac:dyDescent="0.25">
      <c r="A16" s="44"/>
      <c r="B16" s="38"/>
      <c r="C16" s="45"/>
      <c r="D16" s="38"/>
      <c r="E16" s="39"/>
      <c r="F16" s="39"/>
      <c r="G16" s="38"/>
      <c r="H16" s="38" t="s">
        <v>84</v>
      </c>
      <c r="I16" s="38"/>
      <c r="J16" s="38"/>
      <c r="K16" s="38" t="s">
        <v>26</v>
      </c>
      <c r="L16" s="38" t="s">
        <v>69</v>
      </c>
      <c r="M16" s="38"/>
      <c r="N16" s="38" t="s">
        <v>36</v>
      </c>
      <c r="O16" s="38"/>
      <c r="P16" s="38"/>
      <c r="Q16" s="38"/>
      <c r="R16" s="38"/>
      <c r="S16" s="38"/>
      <c r="T16" s="38"/>
      <c r="U16" s="38" t="s">
        <v>127</v>
      </c>
      <c r="V16" s="43" t="s">
        <v>186</v>
      </c>
      <c r="W16" s="38" t="s">
        <v>132</v>
      </c>
      <c r="X16" s="43" t="s">
        <v>159</v>
      </c>
      <c r="Y16" s="38" t="s">
        <v>168</v>
      </c>
      <c r="Z16" s="38"/>
      <c r="AA16" s="38"/>
      <c r="AB16" s="38"/>
      <c r="AC16" s="38"/>
      <c r="AD16" s="38"/>
      <c r="AE16" s="38"/>
    </row>
    <row r="17" spans="1:31" s="42" customFormat="1" ht="42.75" x14ac:dyDescent="0.25">
      <c r="A17" s="44"/>
      <c r="B17" s="38"/>
      <c r="C17" s="45"/>
      <c r="D17" s="38"/>
      <c r="E17" s="39"/>
      <c r="F17" s="39"/>
      <c r="G17" s="38"/>
      <c r="H17" s="38" t="s">
        <v>85</v>
      </c>
      <c r="I17" s="38"/>
      <c r="J17" s="38"/>
      <c r="K17" s="38" t="s">
        <v>27</v>
      </c>
      <c r="L17" s="38" t="s">
        <v>70</v>
      </c>
      <c r="M17" s="38"/>
      <c r="N17" s="38" t="s">
        <v>37</v>
      </c>
      <c r="O17" s="38"/>
      <c r="P17" s="38"/>
      <c r="Q17" s="38"/>
      <c r="R17" s="38"/>
      <c r="S17" s="38"/>
      <c r="T17" s="38"/>
      <c r="U17" s="38" t="s">
        <v>187</v>
      </c>
      <c r="V17" s="43" t="s">
        <v>140</v>
      </c>
      <c r="W17" s="38"/>
      <c r="X17" s="43" t="s">
        <v>132</v>
      </c>
      <c r="Y17" s="38" t="s">
        <v>169</v>
      </c>
      <c r="Z17" s="38"/>
      <c r="AA17" s="38"/>
      <c r="AB17" s="38"/>
      <c r="AC17" s="38"/>
      <c r="AD17" s="38"/>
      <c r="AE17" s="38"/>
    </row>
    <row r="18" spans="1:31" s="42" customFormat="1" ht="42.75" x14ac:dyDescent="0.25">
      <c r="A18" s="44"/>
      <c r="B18" s="38"/>
      <c r="C18" s="45"/>
      <c r="D18" s="38"/>
      <c r="E18" s="39"/>
      <c r="F18" s="39"/>
      <c r="G18" s="38"/>
      <c r="H18" s="38" t="s">
        <v>86</v>
      </c>
      <c r="I18" s="38"/>
      <c r="J18" s="38"/>
      <c r="K18" s="38" t="s">
        <v>28</v>
      </c>
      <c r="L18" s="38" t="s">
        <v>71</v>
      </c>
      <c r="M18" s="38"/>
      <c r="N18" s="38" t="s">
        <v>38</v>
      </c>
      <c r="O18" s="38"/>
      <c r="P18" s="38"/>
      <c r="Q18" s="38"/>
      <c r="R18" s="38"/>
      <c r="S18" s="38"/>
      <c r="T18" s="38"/>
      <c r="U18" s="38" t="s">
        <v>128</v>
      </c>
      <c r="V18" s="43" t="s">
        <v>141</v>
      </c>
      <c r="W18" s="38"/>
      <c r="X18" s="43"/>
      <c r="Y18" s="38" t="s">
        <v>170</v>
      </c>
      <c r="Z18" s="38"/>
      <c r="AA18" s="38"/>
      <c r="AB18" s="38"/>
      <c r="AC18" s="38"/>
      <c r="AD18" s="38"/>
      <c r="AE18" s="38"/>
    </row>
    <row r="19" spans="1:31" s="42" customFormat="1" ht="28.5" x14ac:dyDescent="0.25">
      <c r="A19" s="44"/>
      <c r="B19" s="38"/>
      <c r="C19" s="45"/>
      <c r="D19" s="38"/>
      <c r="E19" s="39"/>
      <c r="F19" s="39"/>
      <c r="G19" s="38"/>
      <c r="H19" s="38" t="s">
        <v>87</v>
      </c>
      <c r="I19" s="38"/>
      <c r="J19" s="38"/>
      <c r="K19" s="38"/>
      <c r="L19" s="38" t="s">
        <v>72</v>
      </c>
      <c r="M19" s="38"/>
      <c r="N19" s="38" t="s">
        <v>52</v>
      </c>
      <c r="O19" s="38"/>
      <c r="P19" s="38"/>
      <c r="Q19" s="38"/>
      <c r="R19" s="38"/>
      <c r="S19" s="38"/>
      <c r="T19" s="38"/>
      <c r="U19" s="38" t="s">
        <v>129</v>
      </c>
      <c r="V19" s="43" t="s">
        <v>142</v>
      </c>
      <c r="W19" s="38"/>
      <c r="X19" s="43"/>
      <c r="Y19" s="38" t="s">
        <v>171</v>
      </c>
      <c r="Z19" s="38"/>
      <c r="AA19" s="38"/>
      <c r="AB19" s="38"/>
      <c r="AC19" s="38"/>
      <c r="AD19" s="38"/>
      <c r="AE19" s="38"/>
    </row>
    <row r="20" spans="1:31" s="42" customFormat="1" ht="42.75" x14ac:dyDescent="0.25">
      <c r="A20" s="44"/>
      <c r="B20" s="38"/>
      <c r="C20" s="45"/>
      <c r="D20" s="38"/>
      <c r="E20" s="39"/>
      <c r="F20" s="39"/>
      <c r="G20" s="38"/>
      <c r="H20" s="38" t="s">
        <v>88</v>
      </c>
      <c r="I20" s="38"/>
      <c r="J20" s="38"/>
      <c r="K20" s="38"/>
      <c r="L20" s="38" t="s">
        <v>73</v>
      </c>
      <c r="M20" s="38"/>
      <c r="N20" s="38" t="s">
        <v>39</v>
      </c>
      <c r="O20" s="38"/>
      <c r="P20" s="38"/>
      <c r="Q20" s="38"/>
      <c r="R20" s="38"/>
      <c r="S20" s="38"/>
      <c r="T20" s="38"/>
      <c r="U20" s="38" t="s">
        <v>130</v>
      </c>
      <c r="V20" s="43" t="s">
        <v>143</v>
      </c>
      <c r="W20" s="38"/>
      <c r="X20" s="43"/>
      <c r="Y20" s="38" t="s">
        <v>172</v>
      </c>
      <c r="Z20" s="38"/>
      <c r="AA20" s="38"/>
      <c r="AB20" s="38"/>
      <c r="AC20" s="38"/>
      <c r="AD20" s="38"/>
      <c r="AE20" s="38"/>
    </row>
    <row r="21" spans="1:31" s="42" customFormat="1" ht="42.75" x14ac:dyDescent="0.25">
      <c r="A21" s="44"/>
      <c r="B21" s="38"/>
      <c r="C21" s="45"/>
      <c r="D21" s="38"/>
      <c r="E21" s="39"/>
      <c r="F21" s="39"/>
      <c r="G21" s="38"/>
      <c r="H21" s="38"/>
      <c r="I21" s="38"/>
      <c r="J21" s="38"/>
      <c r="K21" s="38"/>
      <c r="L21" s="38"/>
      <c r="M21" s="38"/>
      <c r="N21" s="38" t="s">
        <v>40</v>
      </c>
      <c r="O21" s="38"/>
      <c r="P21" s="38"/>
      <c r="Q21" s="38"/>
      <c r="R21" s="38"/>
      <c r="S21" s="38"/>
      <c r="T21" s="38"/>
      <c r="U21" s="38" t="s">
        <v>131</v>
      </c>
      <c r="V21" s="43" t="s">
        <v>144</v>
      </c>
      <c r="W21" s="38"/>
      <c r="X21" s="43"/>
      <c r="Y21" s="38" t="s">
        <v>173</v>
      </c>
      <c r="Z21" s="38"/>
      <c r="AA21" s="38"/>
      <c r="AB21" s="38"/>
      <c r="AC21" s="38"/>
      <c r="AD21" s="38"/>
      <c r="AE21" s="38"/>
    </row>
    <row r="22" spans="1:31" s="42" customFormat="1" ht="57" x14ac:dyDescent="0.25">
      <c r="A22" s="44"/>
      <c r="B22" s="38"/>
      <c r="C22" s="45"/>
      <c r="D22" s="38"/>
      <c r="E22" s="39"/>
      <c r="F22" s="39"/>
      <c r="G22" s="38"/>
      <c r="H22" s="38"/>
      <c r="I22" s="38"/>
      <c r="J22" s="38"/>
      <c r="K22" s="38"/>
      <c r="L22" s="38"/>
      <c r="M22" s="38"/>
      <c r="N22" s="38" t="s">
        <v>53</v>
      </c>
      <c r="O22" s="38"/>
      <c r="P22" s="38"/>
      <c r="Q22" s="38"/>
      <c r="R22" s="38"/>
      <c r="S22" s="38"/>
      <c r="T22" s="38"/>
      <c r="U22" s="38" t="s">
        <v>188</v>
      </c>
      <c r="V22" s="43" t="s">
        <v>132</v>
      </c>
      <c r="W22" s="38"/>
      <c r="X22" s="43"/>
      <c r="Y22" s="38" t="s">
        <v>174</v>
      </c>
      <c r="Z22" s="38"/>
      <c r="AA22" s="38"/>
      <c r="AB22" s="38"/>
      <c r="AC22" s="38"/>
      <c r="AD22" s="38"/>
      <c r="AE22" s="38"/>
    </row>
    <row r="23" spans="1:31" s="42" customFormat="1" ht="42.75" x14ac:dyDescent="0.25">
      <c r="A23" s="44"/>
      <c r="B23" s="38"/>
      <c r="C23" s="45"/>
      <c r="D23" s="38"/>
      <c r="E23" s="39"/>
      <c r="F23" s="39"/>
      <c r="G23" s="38"/>
      <c r="H23" s="38"/>
      <c r="I23" s="38"/>
      <c r="J23" s="38"/>
      <c r="K23" s="38"/>
      <c r="L23" s="38"/>
      <c r="M23" s="38"/>
      <c r="N23" s="38" t="s">
        <v>41</v>
      </c>
      <c r="O23" s="38"/>
      <c r="P23" s="38"/>
      <c r="Q23" s="38"/>
      <c r="R23" s="38"/>
      <c r="S23" s="38"/>
      <c r="T23" s="38"/>
      <c r="U23" s="38" t="s">
        <v>132</v>
      </c>
      <c r="V23" s="43"/>
      <c r="W23" s="38"/>
      <c r="X23" s="43"/>
      <c r="Y23" s="38" t="s">
        <v>175</v>
      </c>
      <c r="Z23" s="38"/>
      <c r="AA23" s="38"/>
      <c r="AB23" s="38"/>
      <c r="AC23" s="38"/>
      <c r="AD23" s="38"/>
      <c r="AE23" s="38"/>
    </row>
    <row r="24" spans="1:31" s="42" customFormat="1" ht="42.75" x14ac:dyDescent="0.25">
      <c r="A24" s="44"/>
      <c r="B24" s="38"/>
      <c r="C24" s="45"/>
      <c r="D24" s="38"/>
      <c r="E24" s="39"/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3"/>
      <c r="W24" s="38"/>
      <c r="X24" s="43"/>
      <c r="Y24" s="38" t="s">
        <v>176</v>
      </c>
      <c r="Z24" s="38"/>
      <c r="AA24" s="38"/>
      <c r="AB24" s="38"/>
      <c r="AC24" s="38"/>
      <c r="AD24" s="38"/>
      <c r="AE24" s="38"/>
    </row>
    <row r="25" spans="1:31" s="42" customFormat="1" ht="42.75" x14ac:dyDescent="0.25">
      <c r="A25" s="44"/>
      <c r="B25" s="38"/>
      <c r="C25" s="45"/>
      <c r="D25" s="38"/>
      <c r="E25" s="39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3"/>
      <c r="W25" s="38"/>
      <c r="X25" s="43"/>
      <c r="Y25" s="38" t="s">
        <v>177</v>
      </c>
      <c r="Z25" s="38"/>
      <c r="AA25" s="38"/>
      <c r="AB25" s="38"/>
      <c r="AC25" s="38"/>
      <c r="AD25" s="38"/>
      <c r="AE25" s="38"/>
    </row>
    <row r="26" spans="1:31" s="42" customFormat="1" ht="28.5" x14ac:dyDescent="0.25">
      <c r="A26" s="44"/>
      <c r="B26" s="38"/>
      <c r="C26" s="45"/>
      <c r="D26" s="38"/>
      <c r="E26" s="39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3"/>
      <c r="W26" s="38"/>
      <c r="X26" s="43"/>
      <c r="Y26" s="38" t="s">
        <v>178</v>
      </c>
      <c r="Z26" s="38"/>
      <c r="AA26" s="38"/>
      <c r="AB26" s="38"/>
      <c r="AC26" s="38"/>
      <c r="AD26" s="38"/>
      <c r="AE26" s="38"/>
    </row>
    <row r="27" spans="1:31" s="42" customFormat="1" x14ac:dyDescent="0.25">
      <c r="A27" s="44"/>
      <c r="B27" s="38"/>
      <c r="C27" s="45"/>
      <c r="D27" s="38"/>
      <c r="E27" s="39"/>
      <c r="F27" s="3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3"/>
      <c r="W27" s="38"/>
      <c r="X27" s="43"/>
      <c r="Y27" s="38" t="s">
        <v>179</v>
      </c>
      <c r="Z27" s="38"/>
      <c r="AA27" s="38"/>
      <c r="AB27" s="38"/>
      <c r="AC27" s="38"/>
      <c r="AD27" s="38"/>
      <c r="AE27" s="38"/>
    </row>
    <row r="28" spans="1:31" s="42" customFormat="1" ht="28.5" x14ac:dyDescent="0.25">
      <c r="A28" s="44"/>
      <c r="B28" s="38"/>
      <c r="C28" s="45"/>
      <c r="D28" s="38"/>
      <c r="E28" s="39"/>
      <c r="F28" s="3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43"/>
      <c r="W28" s="38"/>
      <c r="X28" s="43"/>
      <c r="Y28" s="38" t="s">
        <v>180</v>
      </c>
      <c r="Z28" s="38"/>
      <c r="AA28" s="38"/>
      <c r="AB28" s="38"/>
      <c r="AC28" s="38"/>
      <c r="AD28" s="38"/>
      <c r="AE28" s="38"/>
    </row>
    <row r="29" spans="1:31" s="42" customFormat="1" ht="28.5" x14ac:dyDescent="0.25">
      <c r="A29" s="44"/>
      <c r="B29" s="38"/>
      <c r="C29" s="45"/>
      <c r="D29" s="38"/>
      <c r="E29" s="39"/>
      <c r="F29" s="3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3"/>
      <c r="W29" s="38"/>
      <c r="X29" s="43"/>
      <c r="Y29" s="38" t="s">
        <v>181</v>
      </c>
      <c r="Z29" s="38"/>
      <c r="AA29" s="38"/>
      <c r="AB29" s="38"/>
      <c r="AC29" s="38"/>
      <c r="AD29" s="38"/>
      <c r="AE29" s="38"/>
    </row>
    <row r="30" spans="1:31" s="42" customFormat="1" ht="42.75" x14ac:dyDescent="0.25">
      <c r="A30" s="44"/>
      <c r="B30" s="38"/>
      <c r="C30" s="45"/>
      <c r="D30" s="38"/>
      <c r="E30" s="39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3"/>
      <c r="W30" s="38"/>
      <c r="X30" s="43"/>
      <c r="Y30" s="38" t="s">
        <v>182</v>
      </c>
      <c r="Z30" s="38"/>
      <c r="AA30" s="38"/>
      <c r="AB30" s="38"/>
      <c r="AC30" s="38"/>
      <c r="AD30" s="38"/>
      <c r="AE30" s="38"/>
    </row>
    <row r="31" spans="1:31" s="46" customFormat="1" ht="28.5" x14ac:dyDescent="0.2">
      <c r="U31" s="38"/>
      <c r="V31" s="43"/>
      <c r="W31" s="38"/>
      <c r="X31" s="43"/>
      <c r="Y31" s="38" t="s">
        <v>183</v>
      </c>
    </row>
    <row r="32" spans="1:31" s="46" customFormat="1" x14ac:dyDescent="0.2">
      <c r="U32" s="38"/>
      <c r="V32" s="43"/>
      <c r="W32" s="38"/>
      <c r="X32" s="43"/>
      <c r="Y32" s="38" t="s">
        <v>132</v>
      </c>
    </row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  <row r="40" s="46" customFormat="1" x14ac:dyDescent="0.2"/>
    <row r="41" s="46" customFormat="1" x14ac:dyDescent="0.2"/>
    <row r="42" s="46" customFormat="1" x14ac:dyDescent="0.2"/>
    <row r="43" s="46" customFormat="1" x14ac:dyDescent="0.2"/>
    <row r="44" s="46" customFormat="1" x14ac:dyDescent="0.2"/>
    <row r="45" s="46" customFormat="1" x14ac:dyDescent="0.2"/>
    <row r="46" s="46" customFormat="1" x14ac:dyDescent="0.2"/>
    <row r="47" s="46" customFormat="1" x14ac:dyDescent="0.2"/>
  </sheetData>
  <autoFilter ref="A8:AE22" xr:uid="{00000000-0009-0000-0000-000002000000}"/>
  <mergeCells count="21">
    <mergeCell ref="A9:A15"/>
    <mergeCell ref="B9:B15"/>
    <mergeCell ref="C9:C15"/>
    <mergeCell ref="E9:E15"/>
    <mergeCell ref="I9:I15"/>
    <mergeCell ref="G7:I7"/>
    <mergeCell ref="E1:X4"/>
    <mergeCell ref="O9:O15"/>
    <mergeCell ref="P9:P15"/>
    <mergeCell ref="Q9:Q15"/>
    <mergeCell ref="R9:R15"/>
    <mergeCell ref="J9:J15"/>
    <mergeCell ref="T9:T15"/>
    <mergeCell ref="U5:Y5"/>
    <mergeCell ref="AE9:AE15"/>
    <mergeCell ref="M9:M15"/>
    <mergeCell ref="K7:L7"/>
    <mergeCell ref="U6:Y6"/>
    <mergeCell ref="Z6:AD7"/>
    <mergeCell ref="U7:V7"/>
    <mergeCell ref="W7:X7"/>
  </mergeCells>
  <conditionalFormatting sqref="Z8:AD8 D13:D14 N13 D9:D11 F13:F14 F9:F11 N9:P9 N10:N11 S13:S14 S9:T9 S10:S11 Z9:Z11">
    <cfRule type="containsText" dxfId="147" priority="206" operator="containsText" text="SIN INFO">
      <formula>NOT(ISERROR(SEARCH("SIN INFO",D8)))</formula>
    </cfRule>
  </conditionalFormatting>
  <conditionalFormatting sqref="Z8 Z10:Z11">
    <cfRule type="containsText" dxfId="146" priority="205" stopIfTrue="1" operator="containsText" text="NO">
      <formula>NOT(ISERROR(SEARCH("NO",Z8)))</formula>
    </cfRule>
  </conditionalFormatting>
  <conditionalFormatting sqref="Z8:AD8">
    <cfRule type="containsText" dxfId="145" priority="204" operator="containsText" text="SIN INFO">
      <formula>NOT(ISERROR(SEARCH("SIN INFO",Z8)))</formula>
    </cfRule>
  </conditionalFormatting>
  <conditionalFormatting sqref="Z8">
    <cfRule type="containsText" dxfId="144" priority="203" stopIfTrue="1" operator="containsText" text="NO">
      <formula>NOT(ISERROR(SEARCH("NO",Z8)))</formula>
    </cfRule>
  </conditionalFormatting>
  <conditionalFormatting sqref="Z9">
    <cfRule type="containsText" dxfId="143" priority="201" stopIfTrue="1" operator="containsText" text="NO">
      <formula>NOT(ISERROR(SEARCH("NO",Z9)))</formula>
    </cfRule>
  </conditionalFormatting>
  <conditionalFormatting sqref="AE17 A18:D18 O17:T17 P16:R16 A16:F17">
    <cfRule type="containsText" dxfId="142" priority="197" operator="containsText" text="SIN INFO">
      <formula>NOT(ISERROR(SEARCH("SIN INFO",A16)))</formula>
    </cfRule>
  </conditionalFormatting>
  <conditionalFormatting sqref="D16:D18">
    <cfRule type="containsText" dxfId="141" priority="196" operator="containsText" text="SIN INFO">
      <formula>NOT(ISERROR(SEARCH("SIN INFO",D16)))</formula>
    </cfRule>
  </conditionalFormatting>
  <conditionalFormatting sqref="AE17 D18 O17:T17 P16:R16 D16:F17">
    <cfRule type="containsText" dxfId="140" priority="195" operator="containsText" text="SIN INFO">
      <formula>NOT(ISERROR(SEARCH("SIN INFO",D16)))</formula>
    </cfRule>
  </conditionalFormatting>
  <conditionalFormatting sqref="AE16">
    <cfRule type="containsText" dxfId="139" priority="158" operator="containsText" text="SIN INFO">
      <formula>NOT(ISERROR(SEARCH("SIN INFO",AE16)))</formula>
    </cfRule>
  </conditionalFormatting>
  <conditionalFormatting sqref="O17">
    <cfRule type="containsText" dxfId="138" priority="193" operator="containsText" text="SIN INFO">
      <formula>NOT(ISERROR(SEARCH("SIN INFO",O17)))</formula>
    </cfRule>
  </conditionalFormatting>
  <conditionalFormatting sqref="O17">
    <cfRule type="containsText" dxfId="137" priority="192" operator="containsText" text="SIN INFO">
      <formula>NOT(ISERROR(SEARCH("SIN INFO",O17)))</formula>
    </cfRule>
  </conditionalFormatting>
  <conditionalFormatting sqref="O17">
    <cfRule type="containsText" dxfId="136" priority="190" operator="containsText" text="SIN INFO">
      <formula>NOT(ISERROR(SEARCH("SIN INFO",O17)))</formula>
    </cfRule>
  </conditionalFormatting>
  <conditionalFormatting sqref="O17">
    <cfRule type="containsText" dxfId="135" priority="189" operator="containsText" text="SIN INFO">
      <formula>NOT(ISERROR(SEARCH("SIN INFO",O17)))</formula>
    </cfRule>
  </conditionalFormatting>
  <conditionalFormatting sqref="O18">
    <cfRule type="containsText" dxfId="134" priority="149" operator="containsText" text="SIN INFO">
      <formula>NOT(ISERROR(SEARCH("SIN INFO",O18)))</formula>
    </cfRule>
  </conditionalFormatting>
  <conditionalFormatting sqref="O16">
    <cfRule type="containsText" dxfId="133" priority="162" operator="containsText" text="SIN INFO">
      <formula>NOT(ISERROR(SEARCH("SIN INFO",O16)))</formula>
    </cfRule>
  </conditionalFormatting>
  <conditionalFormatting sqref="D12 N12 S12 Z12:AC12">
    <cfRule type="containsText" dxfId="132" priority="181" operator="containsText" text="SIN INFO">
      <formula>NOT(ISERROR(SEARCH("SIN INFO",D12)))</formula>
    </cfRule>
  </conditionalFormatting>
  <conditionalFormatting sqref="Z12:AC12">
    <cfRule type="containsText" dxfId="131" priority="180" stopIfTrue="1" operator="containsText" text="NO">
      <formula>NOT(ISERROR(SEARCH("NO",Z12)))</formula>
    </cfRule>
  </conditionalFormatting>
  <conditionalFormatting sqref="F12">
    <cfRule type="containsText" dxfId="130" priority="179" operator="containsText" text="SIN INFO">
      <formula>NOT(ISERROR(SEARCH("SIN INFO",F12)))</formula>
    </cfRule>
  </conditionalFormatting>
  <conditionalFormatting sqref="D15">
    <cfRule type="containsText" dxfId="129" priority="175" operator="containsText" text="SIN INFO">
      <formula>NOT(ISERROR(SEARCH("SIN INFO",D15)))</formula>
    </cfRule>
  </conditionalFormatting>
  <conditionalFormatting sqref="F15">
    <cfRule type="containsText" dxfId="128" priority="171" operator="containsText" text="SIN INFO">
      <formula>NOT(ISERROR(SEARCH("SIN INFO",F15)))</formula>
    </cfRule>
  </conditionalFormatting>
  <conditionalFormatting sqref="N14:N30">
    <cfRule type="containsText" dxfId="127" priority="170" operator="containsText" text="SIN INFO">
      <formula>NOT(ISERROR(SEARCH("SIN INFO",N14)))</formula>
    </cfRule>
  </conditionalFormatting>
  <conditionalFormatting sqref="A19:C30">
    <cfRule type="containsText" dxfId="126" priority="132" operator="containsText" text="SIN INFO">
      <formula>NOT(ISERROR(SEARCH("SIN INFO",A19)))</formula>
    </cfRule>
  </conditionalFormatting>
  <conditionalFormatting sqref="S15">
    <cfRule type="containsText" dxfId="125" priority="166" operator="containsText" text="SIN INFO">
      <formula>NOT(ISERROR(SEARCH("SIN INFO",S15)))</formula>
    </cfRule>
  </conditionalFormatting>
  <conditionalFormatting sqref="I22:I30">
    <cfRule type="containsText" dxfId="124" priority="129" operator="containsText" text="SIN INFO">
      <formula>NOT(ISERROR(SEARCH("SIN INFO",I22)))</formula>
    </cfRule>
  </conditionalFormatting>
  <conditionalFormatting sqref="O30">
    <cfRule type="containsText" dxfId="123" priority="128" operator="containsText" text="SIN INFO">
      <formula>NOT(ISERROR(SEARCH("SIN INFO",O30)))</formula>
    </cfRule>
  </conditionalFormatting>
  <conditionalFormatting sqref="S16:T16">
    <cfRule type="containsText" dxfId="122" priority="161" operator="containsText" text="SIN INFO">
      <formula>NOT(ISERROR(SEARCH("SIN INFO",S16)))</formula>
    </cfRule>
  </conditionalFormatting>
  <conditionalFormatting sqref="AE16">
    <cfRule type="containsText" dxfId="121" priority="160" operator="containsText" text="SIN INFO">
      <formula>NOT(ISERROR(SEARCH("SIN INFO",AE16)))</formula>
    </cfRule>
  </conditionalFormatting>
  <conditionalFormatting sqref="AE19:AE30">
    <cfRule type="containsText" dxfId="120" priority="119" operator="containsText" text="SIN INFO">
      <formula>NOT(ISERROR(SEARCH("SIN INFO",AE19)))</formula>
    </cfRule>
  </conditionalFormatting>
  <conditionalFormatting sqref="O18:T18 E18:F18">
    <cfRule type="containsText" dxfId="119" priority="152" operator="containsText" text="SIN INFO">
      <formula>NOT(ISERROR(SEARCH("SIN INFO",E18)))</formula>
    </cfRule>
  </conditionalFormatting>
  <conditionalFormatting sqref="O18:T18 E18:F18">
    <cfRule type="containsText" dxfId="118" priority="151" operator="containsText" text="SIN INFO">
      <formula>NOT(ISERROR(SEARCH("SIN INFO",E18)))</formula>
    </cfRule>
  </conditionalFormatting>
  <conditionalFormatting sqref="D22:D30">
    <cfRule type="containsText" dxfId="117" priority="114" operator="containsText" text="SIN INFO">
      <formula>NOT(ISERROR(SEARCH("SIN INFO",D22)))</formula>
    </cfRule>
  </conditionalFormatting>
  <conditionalFormatting sqref="O18">
    <cfRule type="containsText" dxfId="116" priority="148" operator="containsText" text="SIN INFO">
      <formula>NOT(ISERROR(SEARCH("SIN INFO",O18)))</formula>
    </cfRule>
  </conditionalFormatting>
  <conditionalFormatting sqref="G22:G30">
    <cfRule type="containsText" dxfId="115" priority="111" operator="containsText" text="SIN INFO">
      <formula>NOT(ISERROR(SEARCH("SIN INFO",G22)))</formula>
    </cfRule>
  </conditionalFormatting>
  <conditionalFormatting sqref="O18">
    <cfRule type="containsText" dxfId="114" priority="146" operator="containsText" text="SIN INFO">
      <formula>NOT(ISERROR(SEARCH("SIN INFO",O18)))</formula>
    </cfRule>
  </conditionalFormatting>
  <conditionalFormatting sqref="O18">
    <cfRule type="containsText" dxfId="113" priority="145" operator="containsText" text="SIN INFO">
      <formula>NOT(ISERROR(SEARCH("SIN INFO",O18)))</formula>
    </cfRule>
  </conditionalFormatting>
  <conditionalFormatting sqref="M30">
    <cfRule type="containsText" dxfId="112" priority="122" operator="containsText" text="SIN INFO">
      <formula>NOT(ISERROR(SEARCH("SIN INFO",M30)))</formula>
    </cfRule>
  </conditionalFormatting>
  <conditionalFormatting sqref="M30">
    <cfRule type="containsText" dxfId="111" priority="121" operator="containsText" text="SIN INFO">
      <formula>NOT(ISERROR(SEARCH("SIN INFO",M30)))</formula>
    </cfRule>
  </conditionalFormatting>
  <conditionalFormatting sqref="AE18">
    <cfRule type="containsText" dxfId="110" priority="140" operator="containsText" text="SIN INFO">
      <formula>NOT(ISERROR(SEARCH("SIN INFO",AE18)))</formula>
    </cfRule>
  </conditionalFormatting>
  <conditionalFormatting sqref="AE18">
    <cfRule type="containsText" dxfId="109" priority="139" operator="containsText" text="SIN INFO">
      <formula>NOT(ISERROR(SEARCH("SIN INFO",AE18)))</formula>
    </cfRule>
  </conditionalFormatting>
  <conditionalFormatting sqref="O30:T30 I22:I30 E19:F30 P19:R29">
    <cfRule type="containsText" dxfId="108" priority="131" operator="containsText" text="SIN INFO">
      <formula>NOT(ISERROR(SEARCH("SIN INFO",E19)))</formula>
    </cfRule>
  </conditionalFormatting>
  <conditionalFormatting sqref="O30:T30 I22:I30 E19:F30 P19:R29">
    <cfRule type="containsText" dxfId="107" priority="130" operator="containsText" text="SIN INFO">
      <formula>NOT(ISERROR(SEARCH("SIN INFO",E19)))</formula>
    </cfRule>
  </conditionalFormatting>
  <conditionalFormatting sqref="O30">
    <cfRule type="containsText" dxfId="106" priority="127" operator="containsText" text="SIN INFO">
      <formula>NOT(ISERROR(SEARCH("SIN INFO",O30)))</formula>
    </cfRule>
  </conditionalFormatting>
  <conditionalFormatting sqref="I22:I30">
    <cfRule type="containsText" dxfId="105" priority="126" operator="containsText" text="SIN INFO">
      <formula>NOT(ISERROR(SEARCH("SIN INFO",I22)))</formula>
    </cfRule>
  </conditionalFormatting>
  <conditionalFormatting sqref="O30">
    <cfRule type="containsText" dxfId="104" priority="125" operator="containsText" text="SIN INFO">
      <formula>NOT(ISERROR(SEARCH("SIN INFO",O30)))</formula>
    </cfRule>
  </conditionalFormatting>
  <conditionalFormatting sqref="O30">
    <cfRule type="containsText" dxfId="103" priority="124" operator="containsText" text="SIN INFO">
      <formula>NOT(ISERROR(SEARCH("SIN INFO",O30)))</formula>
    </cfRule>
  </conditionalFormatting>
  <conditionalFormatting sqref="J22:J30">
    <cfRule type="containsText" dxfId="102" priority="123" operator="containsText" text="SIN INFO">
      <formula>NOT(ISERROR(SEARCH("SIN INFO",J22)))</formula>
    </cfRule>
  </conditionalFormatting>
  <conditionalFormatting sqref="AE19:AE30">
    <cfRule type="containsText" dxfId="101" priority="120" operator="containsText" text="SIN INFO">
      <formula>NOT(ISERROR(SEARCH("SIN INFO",AE19)))</formula>
    </cfRule>
  </conditionalFormatting>
  <conditionalFormatting sqref="D19:D21">
    <cfRule type="containsText" dxfId="100" priority="118" operator="containsText" text="SIN INFO">
      <formula>NOT(ISERROR(SEARCH("SIN INFO",D19)))</formula>
    </cfRule>
  </conditionalFormatting>
  <conditionalFormatting sqref="D19:D21">
    <cfRule type="containsText" dxfId="99" priority="117" operator="containsText" text="SIN INFO">
      <formula>NOT(ISERROR(SEARCH("SIN INFO",D19)))</formula>
    </cfRule>
  </conditionalFormatting>
  <conditionalFormatting sqref="D19:D21">
    <cfRule type="containsText" dxfId="98" priority="116" operator="containsText" text="SIN INFO">
      <formula>NOT(ISERROR(SEARCH("SIN INFO",D19)))</formula>
    </cfRule>
  </conditionalFormatting>
  <conditionalFormatting sqref="D22:D30">
    <cfRule type="containsText" dxfId="97" priority="115" operator="containsText" text="SIN INFO">
      <formula>NOT(ISERROR(SEARCH("SIN INFO",D22)))</formula>
    </cfRule>
  </conditionalFormatting>
  <conditionalFormatting sqref="D22:D30">
    <cfRule type="containsText" dxfId="96" priority="113" operator="containsText" text="SIN INFO">
      <formula>NOT(ISERROR(SEARCH("SIN INFO",D22)))</formula>
    </cfRule>
  </conditionalFormatting>
  <conditionalFormatting sqref="G22:G30">
    <cfRule type="containsText" dxfId="95" priority="112" operator="containsText" text="SIN INFO">
      <formula>NOT(ISERROR(SEARCH("SIN INFO",G22)))</formula>
    </cfRule>
  </conditionalFormatting>
  <conditionalFormatting sqref="O20">
    <cfRule type="containsText" dxfId="94" priority="74" operator="containsText" text="SIN INFO">
      <formula>NOT(ISERROR(SEARCH("SIN INFO",O20)))</formula>
    </cfRule>
  </conditionalFormatting>
  <conditionalFormatting sqref="O20">
    <cfRule type="containsText" dxfId="93" priority="73" operator="containsText" text="SIN INFO">
      <formula>NOT(ISERROR(SEARCH("SIN INFO",O20)))</formula>
    </cfRule>
  </conditionalFormatting>
  <conditionalFormatting sqref="L21:L30">
    <cfRule type="containsText" dxfId="92" priority="108" operator="containsText" text="SIN INFO">
      <formula>NOT(ISERROR(SEARCH("SIN INFO",L21)))</formula>
    </cfRule>
  </conditionalFormatting>
  <conditionalFormatting sqref="H22:H30">
    <cfRule type="containsText" dxfId="91" priority="85" operator="containsText" text="SIN INFO">
      <formula>NOT(ISERROR(SEARCH("SIN INFO",H22)))</formula>
    </cfRule>
  </conditionalFormatting>
  <conditionalFormatting sqref="O19">
    <cfRule type="containsText" dxfId="90" priority="103" operator="containsText" text="SIN INFO">
      <formula>NOT(ISERROR(SEARCH("SIN INFO",O19)))</formula>
    </cfRule>
  </conditionalFormatting>
  <conditionalFormatting sqref="O19">
    <cfRule type="containsText" dxfId="89" priority="102" operator="containsText" text="SIN INFO">
      <formula>NOT(ISERROR(SEARCH("SIN INFO",O19)))</formula>
    </cfRule>
  </conditionalFormatting>
  <conditionalFormatting sqref="O19">
    <cfRule type="containsText" dxfId="88" priority="101" operator="containsText" text="SIN INFO">
      <formula>NOT(ISERROR(SEARCH("SIN INFO",O19)))</formula>
    </cfRule>
  </conditionalFormatting>
  <conditionalFormatting sqref="O19">
    <cfRule type="containsText" dxfId="87" priority="100" operator="containsText" text="SIN INFO">
      <formula>NOT(ISERROR(SEARCH("SIN INFO",O19)))</formula>
    </cfRule>
  </conditionalFormatting>
  <conditionalFormatting sqref="O19">
    <cfRule type="containsText" dxfId="86" priority="99" operator="containsText" text="SIN INFO">
      <formula>NOT(ISERROR(SEARCH("SIN INFO",O19)))</formula>
    </cfRule>
  </conditionalFormatting>
  <conditionalFormatting sqref="O19">
    <cfRule type="containsText" dxfId="85" priority="98" operator="containsText" text="SIN INFO">
      <formula>NOT(ISERROR(SEARCH("SIN INFO",O19)))</formula>
    </cfRule>
  </conditionalFormatting>
  <conditionalFormatting sqref="S19:T19">
    <cfRule type="containsText" dxfId="84" priority="97" operator="containsText" text="SIN INFO">
      <formula>NOT(ISERROR(SEARCH("SIN INFO",S19)))</formula>
    </cfRule>
  </conditionalFormatting>
  <conditionalFormatting sqref="S19:T19">
    <cfRule type="containsText" dxfId="83" priority="96" operator="containsText" text="SIN INFO">
      <formula>NOT(ISERROR(SEARCH("SIN INFO",S19)))</formula>
    </cfRule>
  </conditionalFormatting>
  <conditionalFormatting sqref="Z30:AC30">
    <cfRule type="containsText" dxfId="82" priority="95" operator="containsText" text="SIN INFO">
      <formula>NOT(ISERROR(SEARCH("SIN INFO",Z30)))</formula>
    </cfRule>
  </conditionalFormatting>
  <conditionalFormatting sqref="Z30:AC30">
    <cfRule type="containsText" dxfId="81" priority="94" stopIfTrue="1" operator="containsText" text="NO">
      <formula>NOT(ISERROR(SEARCH("NO",Z30)))</formula>
    </cfRule>
  </conditionalFormatting>
  <conditionalFormatting sqref="Z30:AC30">
    <cfRule type="containsText" dxfId="80" priority="93" operator="containsText" text="SIN INFO">
      <formula>NOT(ISERROR(SEARCH("SIN INFO",Z30)))</formula>
    </cfRule>
  </conditionalFormatting>
  <conditionalFormatting sqref="Z30:AC30">
    <cfRule type="containsText" dxfId="79" priority="92" stopIfTrue="1" operator="containsText" text="NO">
      <formula>NOT(ISERROR(SEARCH("NO",Z30)))</formula>
    </cfRule>
  </conditionalFormatting>
  <conditionalFormatting sqref="H22:H30">
    <cfRule type="containsText" dxfId="78" priority="84" operator="containsText" text="SIN INFO">
      <formula>NOT(ISERROR(SEARCH("SIN INFO",H22)))</formula>
    </cfRule>
  </conditionalFormatting>
  <conditionalFormatting sqref="K22:K30">
    <cfRule type="containsText" dxfId="77" priority="83" operator="containsText" text="SIN INFO">
      <formula>NOT(ISERROR(SEARCH("SIN INFO",K22)))</formula>
    </cfRule>
  </conditionalFormatting>
  <conditionalFormatting sqref="K22:K30">
    <cfRule type="containsText" dxfId="76" priority="82" operator="containsText" text="SIN INFO">
      <formula>NOT(ISERROR(SEARCH("SIN INFO",K22)))</formula>
    </cfRule>
  </conditionalFormatting>
  <conditionalFormatting sqref="S21:T21">
    <cfRule type="containsText" dxfId="75" priority="61" operator="containsText" text="SIN INFO">
      <formula>NOT(ISERROR(SEARCH("SIN INFO",S21)))</formula>
    </cfRule>
  </conditionalFormatting>
  <conditionalFormatting sqref="S21:T21">
    <cfRule type="containsText" dxfId="74" priority="60" operator="containsText" text="SIN INFO">
      <formula>NOT(ISERROR(SEARCH("SIN INFO",S21)))</formula>
    </cfRule>
  </conditionalFormatting>
  <conditionalFormatting sqref="M22:M29">
    <cfRule type="containsText" dxfId="73" priority="59" operator="containsText" text="SIN INFO">
      <formula>NOT(ISERROR(SEARCH("SIN INFO",M22)))</formula>
    </cfRule>
  </conditionalFormatting>
  <conditionalFormatting sqref="O20">
    <cfRule type="containsText" dxfId="72" priority="78" operator="containsText" text="SIN INFO">
      <formula>NOT(ISERROR(SEARCH("SIN INFO",O20)))</formula>
    </cfRule>
  </conditionalFormatting>
  <conditionalFormatting sqref="O20">
    <cfRule type="containsText" dxfId="71" priority="77" operator="containsText" text="SIN INFO">
      <formula>NOT(ISERROR(SEARCH("SIN INFO",O20)))</formula>
    </cfRule>
  </conditionalFormatting>
  <conditionalFormatting sqref="O20">
    <cfRule type="containsText" dxfId="70" priority="76" operator="containsText" text="SIN INFO">
      <formula>NOT(ISERROR(SEARCH("SIN INFO",O20)))</formula>
    </cfRule>
  </conditionalFormatting>
  <conditionalFormatting sqref="O20">
    <cfRule type="containsText" dxfId="69" priority="75" operator="containsText" text="SIN INFO">
      <formula>NOT(ISERROR(SEARCH("SIN INFO",O20)))</formula>
    </cfRule>
  </conditionalFormatting>
  <conditionalFormatting sqref="S20:T20">
    <cfRule type="containsText" dxfId="68" priority="72" operator="containsText" text="SIN INFO">
      <formula>NOT(ISERROR(SEARCH("SIN INFO",S20)))</formula>
    </cfRule>
  </conditionalFormatting>
  <conditionalFormatting sqref="S20:T20">
    <cfRule type="containsText" dxfId="67" priority="71" operator="containsText" text="SIN INFO">
      <formula>NOT(ISERROR(SEARCH("SIN INFO",S20)))</formula>
    </cfRule>
  </conditionalFormatting>
  <conditionalFormatting sqref="M21">
    <cfRule type="containsText" dxfId="66" priority="70" operator="containsText" text="SIN INFO">
      <formula>NOT(ISERROR(SEARCH("SIN INFO",M21)))</formula>
    </cfRule>
  </conditionalFormatting>
  <conditionalFormatting sqref="M21">
    <cfRule type="containsText" dxfId="65" priority="69" operator="containsText" text="SIN INFO">
      <formula>NOT(ISERROR(SEARCH("SIN INFO",M21)))</formula>
    </cfRule>
  </conditionalFormatting>
  <conditionalFormatting sqref="M21">
    <cfRule type="containsText" dxfId="64" priority="68" operator="containsText" text="SIN INFO">
      <formula>NOT(ISERROR(SEARCH("SIN INFO",M21)))</formula>
    </cfRule>
  </conditionalFormatting>
  <conditionalFormatting sqref="O21">
    <cfRule type="containsText" dxfId="63" priority="67" operator="containsText" text="SIN INFO">
      <formula>NOT(ISERROR(SEARCH("SIN INFO",O21)))</formula>
    </cfRule>
  </conditionalFormatting>
  <conditionalFormatting sqref="O21">
    <cfRule type="containsText" dxfId="62" priority="66" operator="containsText" text="SIN INFO">
      <formula>NOT(ISERROR(SEARCH("SIN INFO",O21)))</formula>
    </cfRule>
  </conditionalFormatting>
  <conditionalFormatting sqref="O21">
    <cfRule type="containsText" dxfId="61" priority="65" operator="containsText" text="SIN INFO">
      <formula>NOT(ISERROR(SEARCH("SIN INFO",O21)))</formula>
    </cfRule>
  </conditionalFormatting>
  <conditionalFormatting sqref="O21">
    <cfRule type="containsText" dxfId="60" priority="64" operator="containsText" text="SIN INFO">
      <formula>NOT(ISERROR(SEARCH("SIN INFO",O21)))</formula>
    </cfRule>
  </conditionalFormatting>
  <conditionalFormatting sqref="O21">
    <cfRule type="containsText" dxfId="59" priority="63" operator="containsText" text="SIN INFO">
      <formula>NOT(ISERROR(SEARCH("SIN INFO",O21)))</formula>
    </cfRule>
  </conditionalFormatting>
  <conditionalFormatting sqref="O21">
    <cfRule type="containsText" dxfId="58" priority="62" operator="containsText" text="SIN INFO">
      <formula>NOT(ISERROR(SEARCH("SIN INFO",O21)))</formula>
    </cfRule>
  </conditionalFormatting>
  <conditionalFormatting sqref="M22:M29">
    <cfRule type="containsText" dxfId="57" priority="58" operator="containsText" text="SIN INFO">
      <formula>NOT(ISERROR(SEARCH("SIN INFO",M22)))</formula>
    </cfRule>
  </conditionalFormatting>
  <conditionalFormatting sqref="M22:M29">
    <cfRule type="containsText" dxfId="56" priority="57" operator="containsText" text="SIN INFO">
      <formula>NOT(ISERROR(SEARCH("SIN INFO",M22)))</formula>
    </cfRule>
  </conditionalFormatting>
  <conditionalFormatting sqref="O22:O29">
    <cfRule type="containsText" dxfId="55" priority="56" operator="containsText" text="SIN INFO">
      <formula>NOT(ISERROR(SEARCH("SIN INFO",O22)))</formula>
    </cfRule>
  </conditionalFormatting>
  <conditionalFormatting sqref="O22:O29">
    <cfRule type="containsText" dxfId="54" priority="55" operator="containsText" text="SIN INFO">
      <formula>NOT(ISERROR(SEARCH("SIN INFO",O22)))</formula>
    </cfRule>
  </conditionalFormatting>
  <conditionalFormatting sqref="O22:O29">
    <cfRule type="containsText" dxfId="53" priority="54" operator="containsText" text="SIN INFO">
      <formula>NOT(ISERROR(SEARCH("SIN INFO",O22)))</formula>
    </cfRule>
  </conditionalFormatting>
  <conditionalFormatting sqref="O22:O29">
    <cfRule type="containsText" dxfId="52" priority="53" operator="containsText" text="SIN INFO">
      <formula>NOT(ISERROR(SEARCH("SIN INFO",O22)))</formula>
    </cfRule>
  </conditionalFormatting>
  <conditionalFormatting sqref="O22:O29">
    <cfRule type="containsText" dxfId="51" priority="52" operator="containsText" text="SIN INFO">
      <formula>NOT(ISERROR(SEARCH("SIN INFO",O22)))</formula>
    </cfRule>
  </conditionalFormatting>
  <conditionalFormatting sqref="O22:O29">
    <cfRule type="containsText" dxfId="50" priority="51" operator="containsText" text="SIN INFO">
      <formula>NOT(ISERROR(SEARCH("SIN INFO",O22)))</formula>
    </cfRule>
  </conditionalFormatting>
  <conditionalFormatting sqref="S22:T29">
    <cfRule type="containsText" dxfId="49" priority="50" operator="containsText" text="SIN INFO">
      <formula>NOT(ISERROR(SEARCH("SIN INFO",S22)))</formula>
    </cfRule>
  </conditionalFormatting>
  <conditionalFormatting sqref="S22:T29">
    <cfRule type="containsText" dxfId="48" priority="49" operator="containsText" text="SIN INFO">
      <formula>NOT(ISERROR(SEARCH("SIN INFO",S22)))</formula>
    </cfRule>
  </conditionalFormatting>
  <conditionalFormatting sqref="Z13:AC29">
    <cfRule type="containsText" dxfId="47" priority="48" operator="containsText" text="SIN INFO">
      <formula>NOT(ISERROR(SEARCH("SIN INFO",Z13)))</formula>
    </cfRule>
  </conditionalFormatting>
  <conditionalFormatting sqref="Z13:AC29">
    <cfRule type="containsText" dxfId="46" priority="47" stopIfTrue="1" operator="containsText" text="NO">
      <formula>NOT(ISERROR(SEARCH("NO",Z13)))</formula>
    </cfRule>
  </conditionalFormatting>
  <conditionalFormatting sqref="W7 U7">
    <cfRule type="containsText" dxfId="45" priority="46" operator="containsText" text="SIN INFO">
      <formula>NOT(ISERROR(SEARCH("SIN INFO",U7)))</formula>
    </cfRule>
  </conditionalFormatting>
  <conditionalFormatting sqref="A9:C9">
    <cfRule type="containsText" dxfId="44" priority="45" operator="containsText" text="SIN INFO">
      <formula>NOT(ISERROR(SEARCH("SIN INFO",A9)))</formula>
    </cfRule>
  </conditionalFormatting>
  <conditionalFormatting sqref="E9">
    <cfRule type="containsText" dxfId="43" priority="44" operator="containsText" text="SIN INFO">
      <formula>NOT(ISERROR(SEARCH("SIN INFO",E9)))</formula>
    </cfRule>
  </conditionalFormatting>
  <conditionalFormatting sqref="I17:I18 G10:G21 H10:H20 K10:K21 G9:K9">
    <cfRule type="containsText" dxfId="42" priority="43" operator="containsText" text="SIN INFO">
      <formula>NOT(ISERROR(SEARCH("SIN INFO",G9)))</formula>
    </cfRule>
  </conditionalFormatting>
  <conditionalFormatting sqref="I17">
    <cfRule type="containsText" dxfId="41" priority="42" operator="containsText" text="SIN INFO">
      <formula>NOT(ISERROR(SEARCH("SIN INFO",I17)))</formula>
    </cfRule>
  </conditionalFormatting>
  <conditionalFormatting sqref="I17">
    <cfRule type="containsText" dxfId="40" priority="41" operator="containsText" text="SIN INFO">
      <formula>NOT(ISERROR(SEARCH("SIN INFO",I17)))</formula>
    </cfRule>
  </conditionalFormatting>
  <conditionalFormatting sqref="I16">
    <cfRule type="containsText" dxfId="39" priority="40" operator="containsText" text="SIN INFO">
      <formula>NOT(ISERROR(SEARCH("SIN INFO",I16)))</formula>
    </cfRule>
  </conditionalFormatting>
  <conditionalFormatting sqref="J16">
    <cfRule type="containsText" dxfId="38" priority="39" operator="containsText" text="SIN INFO">
      <formula>NOT(ISERROR(SEARCH("SIN INFO",J16)))</formula>
    </cfRule>
  </conditionalFormatting>
  <conditionalFormatting sqref="J17">
    <cfRule type="containsText" dxfId="37" priority="38" operator="containsText" text="SIN INFO">
      <formula>NOT(ISERROR(SEARCH("SIN INFO",J17)))</formula>
    </cfRule>
  </conditionalFormatting>
  <conditionalFormatting sqref="I18">
    <cfRule type="containsText" dxfId="36" priority="37" operator="containsText" text="SIN INFO">
      <formula>NOT(ISERROR(SEARCH("SIN INFO",I18)))</formula>
    </cfRule>
  </conditionalFormatting>
  <conditionalFormatting sqref="I18">
    <cfRule type="containsText" dxfId="35" priority="36" operator="containsText" text="SIN INFO">
      <formula>NOT(ISERROR(SEARCH("SIN INFO",I18)))</formula>
    </cfRule>
  </conditionalFormatting>
  <conditionalFormatting sqref="J18">
    <cfRule type="containsText" dxfId="34" priority="35" operator="containsText" text="SIN INFO">
      <formula>NOT(ISERROR(SEARCH("SIN INFO",J18)))</formula>
    </cfRule>
  </conditionalFormatting>
  <conditionalFormatting sqref="I19:I21">
    <cfRule type="containsText" dxfId="33" priority="34" operator="containsText" text="SIN INFO">
      <formula>NOT(ISERROR(SEARCH("SIN INFO",I19)))</formula>
    </cfRule>
  </conditionalFormatting>
  <conditionalFormatting sqref="I19:I21">
    <cfRule type="containsText" dxfId="32" priority="33" operator="containsText" text="SIN INFO">
      <formula>NOT(ISERROR(SEARCH("SIN INFO",I19)))</formula>
    </cfRule>
  </conditionalFormatting>
  <conditionalFormatting sqref="I19:I21">
    <cfRule type="containsText" dxfId="31" priority="32" operator="containsText" text="SIN INFO">
      <formula>NOT(ISERROR(SEARCH("SIN INFO",I19)))</formula>
    </cfRule>
  </conditionalFormatting>
  <conditionalFormatting sqref="I19:I21">
    <cfRule type="containsText" dxfId="30" priority="31" operator="containsText" text="SIN INFO">
      <formula>NOT(ISERROR(SEARCH("SIN INFO",I19)))</formula>
    </cfRule>
  </conditionalFormatting>
  <conditionalFormatting sqref="J19:J21">
    <cfRule type="containsText" dxfId="29" priority="30" operator="containsText" text="SIN INFO">
      <formula>NOT(ISERROR(SEARCH("SIN INFO",J19)))</formula>
    </cfRule>
  </conditionalFormatting>
  <conditionalFormatting sqref="H21">
    <cfRule type="containsText" dxfId="28" priority="29" operator="containsText" text="SIN INFO">
      <formula>NOT(ISERROR(SEARCH("SIN INFO",H21)))</formula>
    </cfRule>
  </conditionalFormatting>
  <conditionalFormatting sqref="H21">
    <cfRule type="containsText" dxfId="27" priority="28" operator="containsText" text="SIN INFO">
      <formula>NOT(ISERROR(SEARCH("SIN INFO",H21)))</formula>
    </cfRule>
  </conditionalFormatting>
  <conditionalFormatting sqref="L10:L14 L9:M9">
    <cfRule type="containsText" dxfId="26" priority="27" operator="containsText" text="SIN INFO">
      <formula>NOT(ISERROR(SEARCH("SIN INFO",L9)))</formula>
    </cfRule>
  </conditionalFormatting>
  <conditionalFormatting sqref="L17 M16">
    <cfRule type="containsText" dxfId="25" priority="26" operator="containsText" text="SIN INFO">
      <formula>NOT(ISERROR(SEARCH("SIN INFO",L16)))</formula>
    </cfRule>
  </conditionalFormatting>
  <conditionalFormatting sqref="L17 M16">
    <cfRule type="containsText" dxfId="24" priority="25" operator="containsText" text="SIN INFO">
      <formula>NOT(ISERROR(SEARCH("SIN INFO",L16)))</formula>
    </cfRule>
  </conditionalFormatting>
  <conditionalFormatting sqref="M9">
    <cfRule type="containsText" dxfId="23" priority="24" operator="containsText" text="SIN INFO">
      <formula>NOT(ISERROR(SEARCH("SIN INFO",M9)))</formula>
    </cfRule>
  </conditionalFormatting>
  <conditionalFormatting sqref="M9">
    <cfRule type="containsText" dxfId="22" priority="23" operator="containsText" text="SIN INFO">
      <formula>NOT(ISERROR(SEARCH("SIN INFO",M9)))</formula>
    </cfRule>
  </conditionalFormatting>
  <conditionalFormatting sqref="L15">
    <cfRule type="containsText" dxfId="21" priority="22" operator="containsText" text="SIN INFO">
      <formula>NOT(ISERROR(SEARCH("SIN INFO",L15)))</formula>
    </cfRule>
  </conditionalFormatting>
  <conditionalFormatting sqref="L16">
    <cfRule type="containsText" dxfId="20" priority="21" operator="containsText" text="SIN INFO">
      <formula>NOT(ISERROR(SEARCH("SIN INFO",L16)))</formula>
    </cfRule>
  </conditionalFormatting>
  <conditionalFormatting sqref="M17">
    <cfRule type="containsText" dxfId="19" priority="20" operator="containsText" text="SIN INFO">
      <formula>NOT(ISERROR(SEARCH("SIN INFO",M17)))</formula>
    </cfRule>
  </conditionalFormatting>
  <conditionalFormatting sqref="M17">
    <cfRule type="containsText" dxfId="18" priority="19" operator="containsText" text="SIN INFO">
      <formula>NOT(ISERROR(SEARCH("SIN INFO",M17)))</formula>
    </cfRule>
  </conditionalFormatting>
  <conditionalFormatting sqref="L18">
    <cfRule type="containsText" dxfId="17" priority="18" operator="containsText" text="SIN INFO">
      <formula>NOT(ISERROR(SEARCH("SIN INFO",L18)))</formula>
    </cfRule>
  </conditionalFormatting>
  <conditionalFormatting sqref="L18">
    <cfRule type="containsText" dxfId="16" priority="17" operator="containsText" text="SIN INFO">
      <formula>NOT(ISERROR(SEARCH("SIN INFO",L18)))</formula>
    </cfRule>
  </conditionalFormatting>
  <conditionalFormatting sqref="M18">
    <cfRule type="containsText" dxfId="15" priority="16" operator="containsText" text="SIN INFO">
      <formula>NOT(ISERROR(SEARCH("SIN INFO",M18)))</formula>
    </cfRule>
  </conditionalFormatting>
  <conditionalFormatting sqref="M18">
    <cfRule type="containsText" dxfId="14" priority="15" operator="containsText" text="SIN INFO">
      <formula>NOT(ISERROR(SEARCH("SIN INFO",M18)))</formula>
    </cfRule>
  </conditionalFormatting>
  <conditionalFormatting sqref="L19:L20">
    <cfRule type="containsText" dxfId="13" priority="14" operator="containsText" text="SIN INFO">
      <formula>NOT(ISERROR(SEARCH("SIN INFO",L19)))</formula>
    </cfRule>
  </conditionalFormatting>
  <conditionalFormatting sqref="M19">
    <cfRule type="containsText" dxfId="12" priority="13" operator="containsText" text="SIN INFO">
      <formula>NOT(ISERROR(SEARCH("SIN INFO",M19)))</formula>
    </cfRule>
  </conditionalFormatting>
  <conditionalFormatting sqref="M19">
    <cfRule type="containsText" dxfId="11" priority="12" operator="containsText" text="SIN INFO">
      <formula>NOT(ISERROR(SEARCH("SIN INFO",M19)))</formula>
    </cfRule>
  </conditionalFormatting>
  <conditionalFormatting sqref="M19">
    <cfRule type="containsText" dxfId="10" priority="11" operator="containsText" text="SIN INFO">
      <formula>NOT(ISERROR(SEARCH("SIN INFO",M19)))</formula>
    </cfRule>
  </conditionalFormatting>
  <conditionalFormatting sqref="M20">
    <cfRule type="containsText" dxfId="9" priority="10" operator="containsText" text="SIN INFO">
      <formula>NOT(ISERROR(SEARCH("SIN INFO",M20)))</formula>
    </cfRule>
  </conditionalFormatting>
  <conditionalFormatting sqref="M20">
    <cfRule type="containsText" dxfId="8" priority="9" operator="containsText" text="SIN INFO">
      <formula>NOT(ISERROR(SEARCH("SIN INFO",M20)))</formula>
    </cfRule>
  </conditionalFormatting>
  <conditionalFormatting sqref="M20">
    <cfRule type="containsText" dxfId="7" priority="8" operator="containsText" text="SIN INFO">
      <formula>NOT(ISERROR(SEARCH("SIN INFO",M20)))</formula>
    </cfRule>
  </conditionalFormatting>
  <conditionalFormatting sqref="Q9:R9">
    <cfRule type="containsText" dxfId="6" priority="7" operator="containsText" text="SIN INFO">
      <formula>NOT(ISERROR(SEARCH("SIN INFO",Q9)))</formula>
    </cfRule>
  </conditionalFormatting>
  <conditionalFormatting sqref="Q9:R9">
    <cfRule type="containsText" dxfId="5" priority="6" operator="containsText" text="SIN INFO">
      <formula>NOT(ISERROR(SEARCH("SIN INFO",Q9)))</formula>
    </cfRule>
  </conditionalFormatting>
  <conditionalFormatting sqref="Q9:R9">
    <cfRule type="containsText" dxfId="4" priority="5" operator="containsText" text="SIN INFO">
      <formula>NOT(ISERROR(SEARCH("SIN INFO",Q9)))</formula>
    </cfRule>
  </conditionalFormatting>
  <conditionalFormatting sqref="U9:Y32">
    <cfRule type="containsText" dxfId="3" priority="4" operator="containsText" text="SIN INFO">
      <formula>NOT(ISERROR(SEARCH("SIN INFO",U9)))</formula>
    </cfRule>
  </conditionalFormatting>
  <conditionalFormatting sqref="AA9:AC11">
    <cfRule type="containsText" dxfId="2" priority="3" operator="containsText" text="SIN INFO">
      <formula>NOT(ISERROR(SEARCH("SIN INFO",AA9)))</formula>
    </cfRule>
  </conditionalFormatting>
  <conditionalFormatting sqref="AA9:AC11">
    <cfRule type="containsText" dxfId="1" priority="2" stopIfTrue="1" operator="containsText" text="NO">
      <formula>NOT(ISERROR(SEARCH("NO",AA9)))</formula>
    </cfRule>
  </conditionalFormatting>
  <conditionalFormatting sqref="AE9">
    <cfRule type="containsText" dxfId="0" priority="1" operator="containsText" text="SIN INFO">
      <formula>NOT(ISERROR(SEARCH("SIN INFO",AE9)))</formula>
    </cfRule>
  </conditionalFormatting>
  <dataValidations count="13">
    <dataValidation type="list" allowBlank="1" showInputMessage="1" showErrorMessage="1" sqref="Y9:Y32" xr:uid="{00000000-0002-0000-0200-000000000000}">
      <formula1>faltacontrol</formula1>
    </dataValidation>
    <dataValidation type="list" allowBlank="1" showInputMessage="1" showErrorMessage="1" sqref="X9:X32" xr:uid="{00000000-0002-0000-0200-000001000000}">
      <formula1>factorsis</formula1>
    </dataValidation>
    <dataValidation type="list" allowBlank="1" showInputMessage="1" showErrorMessage="1" sqref="W9:W32" xr:uid="{00000000-0002-0000-0200-000002000000}">
      <formula1>factoresper</formula1>
    </dataValidation>
    <dataValidation type="list" allowBlank="1" showInputMessage="1" showErrorMessage="1" sqref="V9:V32" xr:uid="{00000000-0002-0000-0200-000003000000}">
      <formula1>condicionessub</formula1>
    </dataValidation>
    <dataValidation type="list" allowBlank="1" showInputMessage="1" showErrorMessage="1" sqref="U9:U32" xr:uid="{00000000-0002-0000-0200-000004000000}">
      <formula1>actossub</formula1>
    </dataValidation>
    <dataValidation type="list" allowBlank="1" showInputMessage="1" showErrorMessage="1" sqref="H9:H30" xr:uid="{00000000-0002-0000-0200-000005000000}">
      <formula1>MES</formula1>
    </dataValidation>
    <dataValidation type="list" allowBlank="1" showInputMessage="1" showErrorMessage="1" sqref="L9:L30" xr:uid="{00000000-0002-0000-0200-000006000000}">
      <formula1>PELIGRO</formula1>
    </dataValidation>
    <dataValidation type="list" allowBlank="1" showInputMessage="1" showErrorMessage="1" sqref="K9:K30" xr:uid="{00000000-0002-0000-0200-000007000000}">
      <formula1>LOCACIÓN</formula1>
    </dataValidation>
    <dataValidation type="list" allowBlank="1" showInputMessage="1" showErrorMessage="1" sqref="G9:G30" xr:uid="{00000000-0002-0000-0200-000008000000}">
      <formula1>DIAS</formula1>
    </dataValidation>
    <dataValidation type="list" allowBlank="1" showInputMessage="1" showErrorMessage="1" sqref="D9:D30" xr:uid="{00000000-0002-0000-0200-000009000000}">
      <formula1>SEXO</formula1>
    </dataValidation>
    <dataValidation type="list" allowBlank="1" showInputMessage="1" showErrorMessage="1" sqref="N9:N30" xr:uid="{00000000-0002-0000-0200-00000A000000}">
      <formula1>CUERPO</formula1>
    </dataValidation>
    <dataValidation type="list" allowBlank="1" showInputMessage="1" showErrorMessage="1" sqref="AD9:AD30" xr:uid="{00000000-0002-0000-0200-00000B000000}">
      <formula1>ESTADO</formula1>
    </dataValidation>
    <dataValidation type="list" allowBlank="1" showInputMessage="1" showErrorMessage="1" sqref="S9:S29 F9:F18 Z9:AC30" xr:uid="{00000000-0002-0000-0200-00000C000000}">
      <formula1>CONDICIONAL</formula1>
    </dataValidation>
  </dataValidations>
  <pageMargins left="0.78740157480314965" right="0.78740157480314965" top="0.78740157480314965" bottom="0.78740157480314965" header="0" footer="0.39370078740157483"/>
  <pageSetup scale="45" orientation="landscape" r:id="rId1"/>
  <headerFooter>
    <oddFooter>&amp;C&amp;G&amp;R&amp;P de 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48"/>
  <sheetViews>
    <sheetView showGridLines="0" zoomScaleNormal="100" zoomScaleSheetLayoutView="80" workbookViewId="0">
      <selection activeCell="P4" sqref="P4"/>
    </sheetView>
  </sheetViews>
  <sheetFormatPr baseColWidth="10" defaultRowHeight="15" x14ac:dyDescent="0.25"/>
  <cols>
    <col min="1" max="1" width="3.7109375" style="4" customWidth="1"/>
    <col min="2" max="2" width="27.140625" style="4" customWidth="1"/>
    <col min="3" max="3" width="10.7109375" style="4" customWidth="1"/>
    <col min="4" max="8" width="15.7109375" style="4" customWidth="1"/>
    <col min="9" max="10" width="3.7109375" style="4" customWidth="1"/>
    <col min="11" max="11" width="27.140625" style="4" customWidth="1"/>
    <col min="12" max="12" width="10.7109375" style="4" customWidth="1"/>
    <col min="13" max="17" width="15.7109375" style="4" customWidth="1"/>
    <col min="18" max="18" width="3.7109375" style="4" customWidth="1"/>
    <col min="19" max="16384" width="11.42578125" style="4"/>
  </cols>
  <sheetData>
    <row r="1" spans="1:18" s="47" customFormat="1" ht="11.25" x14ac:dyDescent="0.2">
      <c r="D1" s="88" t="s">
        <v>225</v>
      </c>
      <c r="E1" s="88"/>
      <c r="F1" s="88"/>
      <c r="G1" s="88"/>
      <c r="H1" s="88"/>
      <c r="I1" s="88"/>
      <c r="J1" s="88"/>
      <c r="K1" s="88"/>
      <c r="L1" s="88"/>
      <c r="M1" s="88"/>
      <c r="N1" s="49"/>
      <c r="P1" s="53" t="s">
        <v>199</v>
      </c>
      <c r="Q1" s="54" t="s">
        <v>223</v>
      </c>
    </row>
    <row r="2" spans="1:18" s="47" customFormat="1" ht="11.25" x14ac:dyDescent="0.2">
      <c r="D2" s="88"/>
      <c r="E2" s="88"/>
      <c r="F2" s="88"/>
      <c r="G2" s="88"/>
      <c r="H2" s="88"/>
      <c r="I2" s="88"/>
      <c r="J2" s="88"/>
      <c r="K2" s="88"/>
      <c r="L2" s="88"/>
      <c r="M2" s="88"/>
      <c r="N2" s="49"/>
      <c r="P2" s="53" t="s">
        <v>200</v>
      </c>
      <c r="Q2" s="54">
        <v>2</v>
      </c>
      <c r="R2" s="51"/>
    </row>
    <row r="3" spans="1:18" s="47" customFormat="1" ht="11.25" x14ac:dyDescent="0.2">
      <c r="D3" s="88"/>
      <c r="E3" s="88"/>
      <c r="F3" s="88"/>
      <c r="G3" s="88"/>
      <c r="H3" s="88"/>
      <c r="I3" s="88"/>
      <c r="J3" s="88"/>
      <c r="K3" s="88"/>
      <c r="L3" s="88"/>
      <c r="M3" s="88"/>
      <c r="N3" s="49"/>
      <c r="P3" s="53" t="s">
        <v>256</v>
      </c>
      <c r="Q3" s="55">
        <v>44895</v>
      </c>
      <c r="R3" s="52"/>
    </row>
    <row r="4" spans="1:18" s="47" customFormat="1" ht="11.25" x14ac:dyDescent="0.2">
      <c r="D4" s="88"/>
      <c r="E4" s="88"/>
      <c r="F4" s="88"/>
      <c r="G4" s="88"/>
      <c r="H4" s="88"/>
      <c r="I4" s="88"/>
      <c r="J4" s="88"/>
      <c r="K4" s="88"/>
      <c r="L4" s="88"/>
      <c r="M4" s="88"/>
      <c r="N4" s="49"/>
      <c r="P4" s="53" t="s">
        <v>201</v>
      </c>
      <c r="Q4" s="54" t="s">
        <v>202</v>
      </c>
      <c r="R4" s="51"/>
    </row>
    <row r="5" spans="1:18" s="47" customFormat="1" ht="11.25" x14ac:dyDescent="0.2">
      <c r="D5" s="32"/>
      <c r="E5" s="32"/>
      <c r="F5" s="32"/>
      <c r="G5" s="32"/>
      <c r="H5" s="32"/>
      <c r="I5" s="32"/>
      <c r="J5" s="32"/>
      <c r="K5" s="32"/>
      <c r="L5" s="32"/>
      <c r="M5" s="32"/>
      <c r="N5" s="49"/>
      <c r="O5" s="48"/>
      <c r="P5" s="50"/>
      <c r="Q5" s="50"/>
      <c r="R5" s="50"/>
    </row>
    <row r="6" spans="1:18" s="30" customFormat="1" thickBot="1" x14ac:dyDescent="0.25"/>
    <row r="7" spans="1:18" ht="18.75" x14ac:dyDescent="0.25">
      <c r="A7" s="5"/>
      <c r="B7" s="143" t="s">
        <v>93</v>
      </c>
      <c r="C7" s="143"/>
      <c r="D7" s="143"/>
      <c r="E7" s="143"/>
      <c r="F7" s="143"/>
      <c r="G7" s="143"/>
      <c r="H7" s="143"/>
      <c r="I7" s="144"/>
      <c r="J7" s="143" t="s">
        <v>94</v>
      </c>
      <c r="K7" s="143"/>
      <c r="L7" s="143"/>
      <c r="M7" s="143"/>
      <c r="N7" s="143"/>
      <c r="O7" s="143"/>
      <c r="P7" s="143"/>
      <c r="Q7" s="143"/>
      <c r="R7" s="144"/>
    </row>
    <row r="8" spans="1:18" x14ac:dyDescent="0.25">
      <c r="A8" s="8"/>
      <c r="I8" s="9"/>
      <c r="R8" s="9"/>
    </row>
    <row r="9" spans="1:18" x14ac:dyDescent="0.25">
      <c r="A9" s="8"/>
      <c r="B9" s="29" t="s">
        <v>45</v>
      </c>
      <c r="C9" s="29" t="s">
        <v>89</v>
      </c>
      <c r="I9" s="9"/>
      <c r="K9" s="29" t="s">
        <v>233</v>
      </c>
      <c r="L9" s="29" t="s">
        <v>89</v>
      </c>
      <c r="R9" s="9"/>
    </row>
    <row r="10" spans="1:18" ht="66" customHeight="1" x14ac:dyDescent="0.25">
      <c r="A10" s="8"/>
      <c r="B10" s="19" t="s">
        <v>91</v>
      </c>
      <c r="C10" s="19">
        <f>COUNTIF(Consolidado!D8:D74,"MUJER")</f>
        <v>0</v>
      </c>
      <c r="I10" s="9"/>
      <c r="K10" s="19" t="s">
        <v>7</v>
      </c>
      <c r="L10" s="19">
        <f>COUNTIF(Consolidado!G8:G74,"SI")</f>
        <v>0</v>
      </c>
      <c r="R10" s="9"/>
    </row>
    <row r="11" spans="1:18" ht="66" customHeight="1" x14ac:dyDescent="0.25">
      <c r="A11" s="8"/>
      <c r="B11" s="19" t="s">
        <v>16</v>
      </c>
      <c r="C11" s="19">
        <f>COUNTIF(Consolidado!D8:D74,"HOMBRE")</f>
        <v>0</v>
      </c>
      <c r="I11" s="9"/>
      <c r="K11" s="19" t="s">
        <v>15</v>
      </c>
      <c r="L11" s="19">
        <f>COUNTIF(Consolidado!G8:G74,"NO")</f>
        <v>0</v>
      </c>
      <c r="R11" s="9"/>
    </row>
    <row r="12" spans="1:18" x14ac:dyDescent="0.25">
      <c r="A12" s="8"/>
      <c r="B12" s="19" t="s">
        <v>90</v>
      </c>
      <c r="C12" s="19">
        <f>SUM(C10:C11)</f>
        <v>0</v>
      </c>
      <c r="I12" s="9"/>
      <c r="K12" s="19" t="s">
        <v>90</v>
      </c>
      <c r="L12" s="19">
        <f>SUM(L10:L11)</f>
        <v>0</v>
      </c>
      <c r="O12" s="13"/>
      <c r="P12" s="13"/>
      <c r="R12" s="9"/>
    </row>
    <row r="13" spans="1:18" ht="15.75" thickBot="1" x14ac:dyDescent="0.3">
      <c r="A13" s="10"/>
      <c r="B13" s="11"/>
      <c r="C13" s="11"/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5.75" thickBot="1" x14ac:dyDescent="0.3"/>
    <row r="15" spans="1:18" ht="18.75" x14ac:dyDescent="0.25">
      <c r="A15" s="5"/>
      <c r="B15" s="143" t="s">
        <v>95</v>
      </c>
      <c r="C15" s="143"/>
      <c r="D15" s="143"/>
      <c r="E15" s="143"/>
      <c r="F15" s="143"/>
      <c r="G15" s="143"/>
      <c r="H15" s="143"/>
      <c r="I15" s="144"/>
      <c r="J15" s="143" t="s">
        <v>198</v>
      </c>
      <c r="K15" s="143"/>
      <c r="L15" s="143"/>
      <c r="M15" s="143"/>
      <c r="N15" s="143"/>
      <c r="O15" s="143"/>
      <c r="P15" s="143"/>
      <c r="Q15" s="143"/>
      <c r="R15" s="144"/>
    </row>
    <row r="16" spans="1:18" x14ac:dyDescent="0.25">
      <c r="A16" s="8"/>
      <c r="I16" s="9"/>
      <c r="R16" s="9"/>
    </row>
    <row r="17" spans="1:18" x14ac:dyDescent="0.25">
      <c r="A17" s="8"/>
      <c r="B17" s="29" t="s">
        <v>98</v>
      </c>
      <c r="C17" s="29" t="s">
        <v>89</v>
      </c>
      <c r="I17" s="9"/>
      <c r="K17" s="29" t="s">
        <v>76</v>
      </c>
      <c r="L17" s="29" t="s">
        <v>89</v>
      </c>
      <c r="R17" s="9"/>
    </row>
    <row r="18" spans="1:18" x14ac:dyDescent="0.25">
      <c r="A18" s="8"/>
      <c r="B18" s="19" t="s">
        <v>46</v>
      </c>
      <c r="C18" s="19">
        <f>COUNTIF(Consolidado!$H$9:$H$15,"LUNES")</f>
        <v>0</v>
      </c>
      <c r="I18" s="9"/>
      <c r="K18" s="19" t="s">
        <v>77</v>
      </c>
      <c r="L18" s="19">
        <f>COUNTIF(Consolidado!$I$8:$I$74,"ENERO")</f>
        <v>0</v>
      </c>
      <c r="R18" s="9"/>
    </row>
    <row r="19" spans="1:18" x14ac:dyDescent="0.25">
      <c r="A19" s="8"/>
      <c r="B19" s="19" t="s">
        <v>47</v>
      </c>
      <c r="C19" s="19">
        <f>COUNTIF(Consolidado!$H$9:$H$15,"MARTES")</f>
        <v>0</v>
      </c>
      <c r="I19" s="9"/>
      <c r="K19" s="19" t="s">
        <v>78</v>
      </c>
      <c r="L19" s="19">
        <f>COUNTIF(Consolidado!$I$8:$I$74,"FEBRERO")</f>
        <v>0</v>
      </c>
      <c r="R19" s="9"/>
    </row>
    <row r="20" spans="1:18" x14ac:dyDescent="0.25">
      <c r="A20" s="8"/>
      <c r="B20" s="19" t="s">
        <v>48</v>
      </c>
      <c r="C20" s="19">
        <f>COUNTIF(Consolidado!$H$9:$H$15,"MIERCOLES")</f>
        <v>0</v>
      </c>
      <c r="I20" s="9"/>
      <c r="K20" s="19" t="s">
        <v>79</v>
      </c>
      <c r="L20" s="19">
        <f>COUNTIF(Consolidado!$I$8:$I$74,"MARZO")</f>
        <v>0</v>
      </c>
      <c r="R20" s="9"/>
    </row>
    <row r="21" spans="1:18" x14ac:dyDescent="0.25">
      <c r="A21" s="8"/>
      <c r="B21" s="19" t="s">
        <v>49</v>
      </c>
      <c r="C21" s="19">
        <f>COUNTIF(Consolidado!$H$9:$H$15,"JUEVES")</f>
        <v>0</v>
      </c>
      <c r="I21" s="9"/>
      <c r="K21" s="19" t="s">
        <v>80</v>
      </c>
      <c r="L21" s="19">
        <f>COUNTIF(Consolidado!$I$8:$I$74,"ABRIL")</f>
        <v>0</v>
      </c>
      <c r="R21" s="9"/>
    </row>
    <row r="22" spans="1:18" x14ac:dyDescent="0.25">
      <c r="A22" s="8"/>
      <c r="B22" s="19" t="s">
        <v>50</v>
      </c>
      <c r="C22" s="19">
        <f>COUNTIF(Consolidado!$H$9:$H$15,"VIERNES")</f>
        <v>0</v>
      </c>
      <c r="I22" s="9"/>
      <c r="K22" s="19" t="s">
        <v>81</v>
      </c>
      <c r="L22" s="19">
        <f>COUNTIF(Consolidado!$I$8:$I$74,"MAYO")</f>
        <v>0</v>
      </c>
      <c r="R22" s="9"/>
    </row>
    <row r="23" spans="1:18" x14ac:dyDescent="0.25">
      <c r="A23" s="8"/>
      <c r="B23" s="19" t="s">
        <v>6</v>
      </c>
      <c r="C23" s="19">
        <f>COUNTIF(Consolidado!$H$9:$H$15,"SÁBADO")</f>
        <v>0</v>
      </c>
      <c r="I23" s="9"/>
      <c r="K23" s="19" t="s">
        <v>82</v>
      </c>
      <c r="L23" s="19">
        <f>COUNTIF(Consolidado!$I$8:$I$74,"JUNIO")</f>
        <v>0</v>
      </c>
      <c r="R23" s="9"/>
    </row>
    <row r="24" spans="1:18" x14ac:dyDescent="0.25">
      <c r="A24" s="8"/>
      <c r="B24" s="19" t="s">
        <v>51</v>
      </c>
      <c r="C24" s="19">
        <f>COUNTIF(Consolidado!$H$9:$H$15,"DOMINGO")</f>
        <v>0</v>
      </c>
      <c r="I24" s="9"/>
      <c r="K24" s="19" t="s">
        <v>83</v>
      </c>
      <c r="L24" s="19">
        <f>COUNTIF(Consolidado!$I$8:$I$74,"JULIO")</f>
        <v>0</v>
      </c>
      <c r="R24" s="9"/>
    </row>
    <row r="25" spans="1:18" x14ac:dyDescent="0.25">
      <c r="A25" s="8"/>
      <c r="B25" s="19" t="s">
        <v>90</v>
      </c>
      <c r="C25" s="19">
        <f>SUM(C18:C24)</f>
        <v>0</v>
      </c>
      <c r="I25" s="9"/>
      <c r="K25" s="19" t="s">
        <v>84</v>
      </c>
      <c r="L25" s="19">
        <f>COUNTIF(Consolidado!$I$8:$I$74,"AGOSTO")</f>
        <v>0</v>
      </c>
      <c r="R25" s="9"/>
    </row>
    <row r="26" spans="1:18" x14ac:dyDescent="0.25">
      <c r="A26" s="8"/>
      <c r="I26" s="9"/>
      <c r="K26" s="19" t="s">
        <v>85</v>
      </c>
      <c r="L26" s="19">
        <f>COUNTIF(Consolidado!$I$8:$I$74,"SEPTIEMBRE")</f>
        <v>0</v>
      </c>
      <c r="R26" s="9"/>
    </row>
    <row r="27" spans="1:18" x14ac:dyDescent="0.25">
      <c r="A27" s="8"/>
      <c r="I27" s="9"/>
      <c r="K27" s="19" t="s">
        <v>86</v>
      </c>
      <c r="L27" s="19">
        <f>COUNTIF(Consolidado!$I$8:$I$74,"OCTUBRE")</f>
        <v>0</v>
      </c>
      <c r="R27" s="9"/>
    </row>
    <row r="28" spans="1:18" x14ac:dyDescent="0.25">
      <c r="A28" s="8"/>
      <c r="I28" s="9"/>
      <c r="K28" s="19" t="s">
        <v>87</v>
      </c>
      <c r="L28" s="19">
        <f>COUNTIF(Consolidado!$I$8:$I$74,"NOVIEMBRE")</f>
        <v>0</v>
      </c>
      <c r="R28" s="9"/>
    </row>
    <row r="29" spans="1:18" x14ac:dyDescent="0.25">
      <c r="A29" s="8"/>
      <c r="I29" s="9"/>
      <c r="K29" s="19" t="s">
        <v>88</v>
      </c>
      <c r="L29" s="19">
        <f>COUNTIF(Consolidado!$I$8:$I$74,"DICIEMBRE")</f>
        <v>0</v>
      </c>
      <c r="R29" s="9"/>
    </row>
    <row r="30" spans="1:18" x14ac:dyDescent="0.25">
      <c r="A30" s="8"/>
      <c r="I30" s="9"/>
      <c r="K30" s="19" t="s">
        <v>90</v>
      </c>
      <c r="L30" s="19">
        <f>SUM(L18:L29)</f>
        <v>0</v>
      </c>
      <c r="O30" s="13"/>
      <c r="P30" s="13"/>
      <c r="R30" s="9"/>
    </row>
    <row r="31" spans="1:18" ht="15.75" thickBot="1" x14ac:dyDescent="0.3">
      <c r="A31" s="10"/>
      <c r="B31" s="11"/>
      <c r="C31" s="11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1"/>
      <c r="P31" s="11"/>
      <c r="Q31" s="11"/>
      <c r="R31" s="12"/>
    </row>
    <row r="32" spans="1:18" ht="15.75" thickBot="1" x14ac:dyDescent="0.3"/>
    <row r="33" spans="1:21" ht="18.75" x14ac:dyDescent="0.25">
      <c r="A33" s="5"/>
      <c r="B33" s="143"/>
      <c r="C33" s="143"/>
      <c r="D33" s="143"/>
      <c r="E33" s="143"/>
      <c r="F33" s="143"/>
      <c r="G33" s="143"/>
      <c r="H33" s="143"/>
      <c r="I33" s="144"/>
      <c r="J33" s="143" t="s">
        <v>100</v>
      </c>
      <c r="K33" s="143"/>
      <c r="L33" s="143"/>
      <c r="M33" s="143"/>
      <c r="N33" s="143"/>
      <c r="O33" s="143"/>
      <c r="P33" s="143"/>
      <c r="Q33" s="143"/>
      <c r="R33" s="144"/>
    </row>
    <row r="34" spans="1:21" x14ac:dyDescent="0.25">
      <c r="A34" s="8"/>
      <c r="I34" s="9"/>
      <c r="R34" s="9"/>
    </row>
    <row r="35" spans="1:21" x14ac:dyDescent="0.25">
      <c r="A35" s="8"/>
      <c r="I35" s="9"/>
      <c r="K35" s="29" t="s">
        <v>99</v>
      </c>
      <c r="L35" s="29" t="s">
        <v>89</v>
      </c>
      <c r="R35" s="9"/>
    </row>
    <row r="36" spans="1:21" x14ac:dyDescent="0.25">
      <c r="A36" s="8"/>
      <c r="I36" s="9"/>
      <c r="K36" s="19" t="s">
        <v>63</v>
      </c>
      <c r="L36" s="19">
        <f>COUNTIF(Consolidado!$M$8:$M$74,"Biológico")</f>
        <v>0</v>
      </c>
      <c r="R36" s="9"/>
    </row>
    <row r="37" spans="1:21" x14ac:dyDescent="0.25">
      <c r="A37" s="8"/>
      <c r="I37" s="9"/>
      <c r="K37" s="19" t="s">
        <v>227</v>
      </c>
      <c r="L37" s="19">
        <f>COUNTIF(Consolidado!$M$8:$M$74,"Biomecanico - Ergonómico")</f>
        <v>0</v>
      </c>
      <c r="R37" s="9"/>
    </row>
    <row r="38" spans="1:21" x14ac:dyDescent="0.25">
      <c r="A38" s="8"/>
      <c r="I38" s="9"/>
      <c r="K38" s="19" t="s">
        <v>184</v>
      </c>
      <c r="L38" s="19">
        <f>COUNTIF(Consolidado!$M$8:$M$74,"Electrico")</f>
        <v>0</v>
      </c>
      <c r="R38" s="9"/>
    </row>
    <row r="39" spans="1:21" x14ac:dyDescent="0.25">
      <c r="A39" s="8"/>
      <c r="I39" s="9"/>
      <c r="K39" s="19" t="s">
        <v>65</v>
      </c>
      <c r="L39" s="19">
        <f>COUNTIF(Consolidado!$M$8:$M$74,"Físico")</f>
        <v>0</v>
      </c>
      <c r="R39" s="9"/>
    </row>
    <row r="40" spans="1:21" x14ac:dyDescent="0.25">
      <c r="A40" s="8"/>
      <c r="I40" s="9"/>
      <c r="K40" s="19" t="s">
        <v>66</v>
      </c>
      <c r="L40" s="19">
        <f>COUNTIF(Consolidado!$M$8:$M$74,"Físico - Químico")</f>
        <v>0</v>
      </c>
      <c r="R40" s="9"/>
    </row>
    <row r="41" spans="1:21" x14ac:dyDescent="0.25">
      <c r="A41" s="8"/>
      <c r="I41" s="9"/>
      <c r="K41" s="19" t="s">
        <v>67</v>
      </c>
      <c r="L41" s="19">
        <f>COUNTIF(Consolidado!$M$8:$M$74,"Locativo")</f>
        <v>0</v>
      </c>
      <c r="R41" s="9"/>
    </row>
    <row r="42" spans="1:21" x14ac:dyDescent="0.25">
      <c r="A42" s="8"/>
      <c r="I42" s="9"/>
      <c r="K42" s="19" t="s">
        <v>68</v>
      </c>
      <c r="L42" s="19">
        <f>COUNTIF(Consolidado!$M$8:$M$73,"Mecánico ")</f>
        <v>0</v>
      </c>
      <c r="R42" s="9"/>
    </row>
    <row r="43" spans="1:21" x14ac:dyDescent="0.25">
      <c r="A43" s="8"/>
      <c r="I43" s="9"/>
      <c r="K43" s="19" t="s">
        <v>69</v>
      </c>
      <c r="L43" s="19">
        <f>COUNTIF(Consolidado!$M$8:$M$73,"Natural")</f>
        <v>0</v>
      </c>
      <c r="R43" s="9"/>
    </row>
    <row r="44" spans="1:21" x14ac:dyDescent="0.25">
      <c r="A44" s="8"/>
      <c r="I44" s="9"/>
      <c r="K44" s="19" t="s">
        <v>70</v>
      </c>
      <c r="L44" s="19">
        <f>COUNTIF(Consolidado!$M$8:$M$73,"Psicosocial")</f>
        <v>0</v>
      </c>
      <c r="R44" s="9"/>
    </row>
    <row r="45" spans="1:21" x14ac:dyDescent="0.25">
      <c r="A45" s="8"/>
      <c r="I45" s="9"/>
      <c r="K45" s="19" t="s">
        <v>71</v>
      </c>
      <c r="L45" s="19">
        <f>COUNTIF(Consolidado!$M$8:$M$73,"Público")</f>
        <v>0</v>
      </c>
      <c r="R45" s="9"/>
    </row>
    <row r="46" spans="1:21" x14ac:dyDescent="0.25">
      <c r="A46" s="8"/>
      <c r="I46" s="9"/>
      <c r="K46" s="19" t="s">
        <v>72</v>
      </c>
      <c r="L46" s="19">
        <f>COUNTIF(Consolidado!$M$8:$M$73,"Químico")</f>
        <v>0</v>
      </c>
      <c r="R46" s="9"/>
      <c r="U46" s="17"/>
    </row>
    <row r="47" spans="1:21" x14ac:dyDescent="0.25">
      <c r="A47" s="8"/>
      <c r="I47" s="9"/>
      <c r="K47" s="19" t="s">
        <v>73</v>
      </c>
      <c r="L47" s="19">
        <f>COUNTIF(Consolidado!$M$8:$M$73,"Transito y Transporte")</f>
        <v>0</v>
      </c>
      <c r="R47" s="9"/>
    </row>
    <row r="48" spans="1:21" x14ac:dyDescent="0.25">
      <c r="A48" s="8"/>
      <c r="I48" s="9"/>
      <c r="K48" s="19" t="s">
        <v>90</v>
      </c>
      <c r="L48" s="19">
        <f>SUM(L36:L47)</f>
        <v>0</v>
      </c>
      <c r="O48" s="13"/>
      <c r="P48" s="13"/>
      <c r="R48" s="9"/>
    </row>
    <row r="49" spans="1:18" ht="15.75" thickBot="1" x14ac:dyDescent="0.3">
      <c r="A49" s="10"/>
      <c r="B49" s="11"/>
      <c r="C49" s="11"/>
      <c r="D49" s="11"/>
      <c r="E49" s="11"/>
      <c r="F49" s="11"/>
      <c r="G49" s="11"/>
      <c r="H49" s="11"/>
      <c r="I49" s="12"/>
      <c r="J49" s="11"/>
      <c r="K49" s="11"/>
      <c r="L49" s="11"/>
      <c r="M49" s="11"/>
      <c r="N49" s="11"/>
      <c r="O49" s="11"/>
      <c r="P49" s="11"/>
      <c r="Q49" s="11"/>
      <c r="R49" s="12"/>
    </row>
    <row r="50" spans="1:18" ht="15.75" thickBot="1" x14ac:dyDescent="0.3"/>
    <row r="51" spans="1:18" ht="18.75" x14ac:dyDescent="0.25">
      <c r="A51" s="5"/>
      <c r="B51" s="143" t="s">
        <v>111</v>
      </c>
      <c r="C51" s="143"/>
      <c r="D51" s="143"/>
      <c r="E51" s="143"/>
      <c r="F51" s="143"/>
      <c r="G51" s="143"/>
      <c r="H51" s="143"/>
      <c r="I51" s="144"/>
      <c r="J51" s="143" t="s">
        <v>112</v>
      </c>
      <c r="K51" s="143"/>
      <c r="L51" s="143"/>
      <c r="M51" s="143"/>
      <c r="N51" s="143"/>
      <c r="O51" s="143"/>
      <c r="P51" s="143"/>
      <c r="Q51" s="143"/>
      <c r="R51" s="144"/>
    </row>
    <row r="52" spans="1:18" x14ac:dyDescent="0.25">
      <c r="A52" s="8"/>
      <c r="I52" s="9"/>
      <c r="R52" s="9"/>
    </row>
    <row r="53" spans="1:18" x14ac:dyDescent="0.25">
      <c r="A53" s="8"/>
      <c r="B53" s="29" t="s">
        <v>110</v>
      </c>
      <c r="C53" s="29" t="s">
        <v>89</v>
      </c>
      <c r="I53" s="9"/>
      <c r="K53" s="29" t="s">
        <v>11</v>
      </c>
      <c r="L53" s="29" t="s">
        <v>89</v>
      </c>
      <c r="R53" s="9"/>
    </row>
    <row r="54" spans="1:18" x14ac:dyDescent="0.25">
      <c r="A54" s="8"/>
      <c r="B54" s="18" t="s">
        <v>29</v>
      </c>
      <c r="C54" s="19">
        <f>COUNTIF(Consolidado!$O$9:$O$74,"CARA (NO OJOS Y OÍDOS)")</f>
        <v>0</v>
      </c>
      <c r="I54" s="9"/>
      <c r="K54" s="19">
        <v>0</v>
      </c>
      <c r="L54" s="19">
        <f>COUNTIF(Consolidado!$Q$9:$Q$74,"0")</f>
        <v>0</v>
      </c>
      <c r="R54" s="9"/>
    </row>
    <row r="55" spans="1:18" x14ac:dyDescent="0.25">
      <c r="A55" s="8"/>
      <c r="B55" s="18" t="s">
        <v>30</v>
      </c>
      <c r="C55" s="19">
        <f>COUNTIF(Consolidado!$O$9:$O$74,"CRÁNEO")</f>
        <v>0</v>
      </c>
      <c r="I55" s="9"/>
      <c r="K55" s="19" t="s">
        <v>101</v>
      </c>
      <c r="L55" s="19">
        <f>COUNTIFS(Consolidado!$Q$9:$Q$74,"&lt;=5",Consolidado!$Q$9:$Q$74,"&gt;=1")</f>
        <v>0</v>
      </c>
      <c r="R55" s="9"/>
    </row>
    <row r="56" spans="1:18" x14ac:dyDescent="0.25">
      <c r="A56" s="8"/>
      <c r="B56" s="18" t="s">
        <v>31</v>
      </c>
      <c r="C56" s="19">
        <f>COUNTIF(Consolidado!$O$9:$O$74,"CUELLO")</f>
        <v>0</v>
      </c>
      <c r="I56" s="9"/>
      <c r="K56" s="19" t="s">
        <v>102</v>
      </c>
      <c r="L56" s="19">
        <f>COUNTIFS(Consolidado!$Q$9:$Q$74,"&lt;=10",Consolidado!$Q$9:$Q$74,"&gt;=6")</f>
        <v>0</v>
      </c>
      <c r="R56" s="9"/>
    </row>
    <row r="57" spans="1:18" x14ac:dyDescent="0.25">
      <c r="A57" s="8"/>
      <c r="B57" s="18" t="s">
        <v>32</v>
      </c>
      <c r="C57" s="19">
        <f>COUNTIF(Consolidado!$O$9:$O$74,"GENITALES")</f>
        <v>0</v>
      </c>
      <c r="I57" s="9"/>
      <c r="K57" s="19" t="s">
        <v>103</v>
      </c>
      <c r="L57" s="19">
        <f>COUNTIFS(Consolidado!$Q$9:$Q$74,"&lt;=20",Consolidado!$Q$9:$Q$74,"&gt;=11")</f>
        <v>0</v>
      </c>
      <c r="R57" s="9"/>
    </row>
    <row r="58" spans="1:18" x14ac:dyDescent="0.25">
      <c r="A58" s="8"/>
      <c r="B58" s="18" t="s">
        <v>33</v>
      </c>
      <c r="C58" s="19">
        <f>COUNTIF(Consolidado!$O$9:$O$74,"MANOS")</f>
        <v>0</v>
      </c>
      <c r="I58" s="9"/>
      <c r="K58" s="19" t="s">
        <v>104</v>
      </c>
      <c r="L58" s="19">
        <f>COUNTIFS(Consolidado!$Q$9:$Q$74,"&lt;=30",Consolidado!$Q$9:$Q$74,"&gt;=21")</f>
        <v>0</v>
      </c>
      <c r="R58" s="9"/>
    </row>
    <row r="59" spans="1:18" ht="30" x14ac:dyDescent="0.25">
      <c r="A59" s="8"/>
      <c r="B59" s="18" t="s">
        <v>34</v>
      </c>
      <c r="C59" s="19">
        <f>COUNTIF(Consolidado!$O$9:$O$74,"MIEMBROS INFERIORES (NO PÍES)")</f>
        <v>0</v>
      </c>
      <c r="I59" s="9"/>
      <c r="K59" s="19" t="s">
        <v>105</v>
      </c>
      <c r="L59" s="19">
        <f>COUNTIFS(Consolidado!$Q$9:$Q$74,"&lt;=40",Consolidado!$Q$9:$Q$74,"&gt;=31")</f>
        <v>0</v>
      </c>
      <c r="R59" s="9"/>
    </row>
    <row r="60" spans="1:18" ht="30" x14ac:dyDescent="0.25">
      <c r="A60" s="8"/>
      <c r="B60" s="18" t="s">
        <v>35</v>
      </c>
      <c r="C60" s="19">
        <f>COUNTIF(Consolidado!$O$9:$O$74,"MIEMBROS SUPERIORES (NO MANOS)")</f>
        <v>0</v>
      </c>
      <c r="I60" s="9"/>
      <c r="K60" s="19" t="s">
        <v>106</v>
      </c>
      <c r="L60" s="19">
        <f>COUNTIFS(Consolidado!$Q$9:$Q$74,"&lt;=50",Consolidado!$Q$9:$Q$74,"&gt;=41")</f>
        <v>0</v>
      </c>
      <c r="R60" s="9"/>
    </row>
    <row r="61" spans="1:18" x14ac:dyDescent="0.25">
      <c r="A61" s="8"/>
      <c r="B61" s="18" t="s">
        <v>36</v>
      </c>
      <c r="C61" s="19">
        <f>COUNTIF(Consolidado!$O$9:$O$74,"MUÑECAS")</f>
        <v>0</v>
      </c>
      <c r="I61" s="9"/>
      <c r="K61" s="19" t="s">
        <v>107</v>
      </c>
      <c r="L61" s="19">
        <f>COUNTIFS(Consolidado!$Q$9:$Q$74,"&lt;=60",Consolidado!$Q$9:$Q$74,"&gt;=51")</f>
        <v>0</v>
      </c>
      <c r="R61" s="9"/>
    </row>
    <row r="62" spans="1:18" x14ac:dyDescent="0.25">
      <c r="A62" s="8"/>
      <c r="B62" s="18" t="s">
        <v>37</v>
      </c>
      <c r="C62" s="19">
        <f>COUNTIF(Consolidado!$O$9:$O$74,"OJOS")</f>
        <v>0</v>
      </c>
      <c r="I62" s="9"/>
      <c r="K62" s="19" t="s">
        <v>108</v>
      </c>
      <c r="L62" s="19">
        <f>COUNTIFS(Consolidado!$Q$9:$Q$74,"&lt;=70",Consolidado!$Q$9:$Q$74,"&gt;=61")</f>
        <v>0</v>
      </c>
      <c r="R62" s="9"/>
    </row>
    <row r="63" spans="1:18" x14ac:dyDescent="0.25">
      <c r="A63" s="8"/>
      <c r="B63" s="18" t="s">
        <v>38</v>
      </c>
      <c r="C63" s="19">
        <f>COUNTIF(Consolidado!$O$9:$O$74,"OÍDOS")</f>
        <v>0</v>
      </c>
      <c r="I63" s="9"/>
      <c r="K63" s="19" t="s">
        <v>109</v>
      </c>
      <c r="L63" s="19">
        <f>COUNTIFS(Consolidado!$Q$9:$Q$74,"&lt;=300",Consolidado!$Q$9:$Q$74,"&gt;=71")</f>
        <v>0</v>
      </c>
      <c r="R63" s="9"/>
    </row>
    <row r="64" spans="1:18" x14ac:dyDescent="0.25">
      <c r="A64" s="8"/>
      <c r="B64" s="18" t="s">
        <v>52</v>
      </c>
      <c r="C64" s="19">
        <f>COUNTIF(Consolidado!$O$9:$O$74,"ÓRGANOS INTERNOS")</f>
        <v>0</v>
      </c>
      <c r="I64" s="9"/>
      <c r="K64" s="19" t="s">
        <v>90</v>
      </c>
      <c r="L64" s="19">
        <f>SUM(L54:L63)</f>
        <v>0</v>
      </c>
      <c r="R64" s="9"/>
    </row>
    <row r="65" spans="1:31" x14ac:dyDescent="0.25">
      <c r="A65" s="8"/>
      <c r="B65" s="18" t="s">
        <v>39</v>
      </c>
      <c r="C65" s="19">
        <f>COUNTIF(Consolidado!$O$9:$O$74,"PÍES")</f>
        <v>0</v>
      </c>
      <c r="I65" s="9"/>
      <c r="R65" s="9"/>
    </row>
    <row r="66" spans="1:31" ht="30" x14ac:dyDescent="0.25">
      <c r="A66" s="8"/>
      <c r="B66" s="18" t="s">
        <v>40</v>
      </c>
      <c r="C66" s="19">
        <f>COUNTIF(Consolidado!$O$9:$O$74,"REGIÓN LUMBAR &amp; ABDOMEN")</f>
        <v>0</v>
      </c>
      <c r="I66" s="9"/>
      <c r="R66" s="9"/>
    </row>
    <row r="67" spans="1:31" ht="30" x14ac:dyDescent="0.25">
      <c r="A67" s="8"/>
      <c r="B67" s="18" t="s">
        <v>53</v>
      </c>
      <c r="C67" s="19">
        <f>COUNTIF(Consolidado!$O$9:$O$74,"TÓRAX, ESPALDA &amp; COSTADOS")</f>
        <v>0</v>
      </c>
      <c r="I67" s="9"/>
      <c r="R67" s="9"/>
    </row>
    <row r="68" spans="1:31" x14ac:dyDescent="0.25">
      <c r="A68" s="8"/>
      <c r="B68" s="18" t="s">
        <v>41</v>
      </c>
      <c r="C68" s="19">
        <f>COUNTIF(Consolidado!$O$9:$O$74,"UBICACIONES MÚLTIPLES")</f>
        <v>0</v>
      </c>
      <c r="I68" s="9"/>
      <c r="R68" s="9"/>
      <c r="AE68" s="4" t="s">
        <v>203</v>
      </c>
    </row>
    <row r="69" spans="1:31" ht="15.75" x14ac:dyDescent="0.25">
      <c r="A69" s="8"/>
      <c r="B69" s="19" t="s">
        <v>90</v>
      </c>
      <c r="C69" s="19">
        <f>SUM(C54:C68)</f>
        <v>0</v>
      </c>
      <c r="I69" s="9"/>
      <c r="R69" s="9"/>
      <c r="U69" s="14"/>
      <c r="V69" s="14"/>
      <c r="AE69" s="4">
        <v>7</v>
      </c>
    </row>
    <row r="70" spans="1:31" ht="16.5" thickBot="1" x14ac:dyDescent="0.3">
      <c r="A70" s="10"/>
      <c r="B70" s="11"/>
      <c r="C70" s="11"/>
      <c r="D70" s="11"/>
      <c r="E70" s="11"/>
      <c r="F70" s="11"/>
      <c r="G70" s="11"/>
      <c r="H70" s="11"/>
      <c r="I70" s="12"/>
      <c r="J70" s="11"/>
      <c r="K70" s="11"/>
      <c r="L70" s="11"/>
      <c r="M70" s="11"/>
      <c r="N70" s="11"/>
      <c r="O70" s="11"/>
      <c r="P70" s="11"/>
      <c r="Q70" s="11"/>
      <c r="R70" s="12"/>
      <c r="T70" s="14"/>
    </row>
    <row r="71" spans="1:31" ht="15.75" thickBot="1" x14ac:dyDescent="0.3"/>
    <row r="72" spans="1:31" ht="18.75" x14ac:dyDescent="0.25">
      <c r="A72" s="5"/>
      <c r="B72" s="143" t="s">
        <v>228</v>
      </c>
      <c r="C72" s="143"/>
      <c r="D72" s="143"/>
      <c r="E72" s="143"/>
      <c r="F72" s="143"/>
      <c r="G72" s="143"/>
      <c r="H72" s="143"/>
      <c r="I72" s="144"/>
      <c r="J72" s="143" t="s">
        <v>229</v>
      </c>
      <c r="K72" s="143"/>
      <c r="L72" s="143"/>
      <c r="M72" s="143"/>
      <c r="N72" s="143"/>
      <c r="O72" s="143"/>
      <c r="P72" s="143"/>
      <c r="Q72" s="143"/>
      <c r="R72" s="144"/>
    </row>
    <row r="73" spans="1:31" x14ac:dyDescent="0.25">
      <c r="A73" s="8"/>
      <c r="I73" s="9"/>
      <c r="R73" s="9"/>
    </row>
    <row r="74" spans="1:31" ht="30" x14ac:dyDescent="0.25">
      <c r="A74" s="8"/>
      <c r="B74" s="29" t="s">
        <v>230</v>
      </c>
      <c r="C74" s="29" t="s">
        <v>89</v>
      </c>
      <c r="I74" s="9"/>
      <c r="K74" s="29" t="s">
        <v>231</v>
      </c>
      <c r="L74" s="29" t="s">
        <v>89</v>
      </c>
      <c r="R74" s="9"/>
    </row>
    <row r="75" spans="1:31" ht="30" x14ac:dyDescent="0.25">
      <c r="A75" s="8"/>
      <c r="B75" s="18" t="s">
        <v>121</v>
      </c>
      <c r="C75" s="19">
        <f>COUNTIF(Consolidado!$V$9:$V$984,"Operación del equipo sin autorización")</f>
        <v>0</v>
      </c>
      <c r="I75" s="9"/>
      <c r="K75" s="18" t="s">
        <v>133</v>
      </c>
      <c r="L75" s="19">
        <f>COUNTIF(Consolidado!$W$8:$W$984,"Barandas o barreras inadecuadas")</f>
        <v>0</v>
      </c>
      <c r="R75" s="9"/>
    </row>
    <row r="76" spans="1:31" ht="30" x14ac:dyDescent="0.25">
      <c r="A76" s="8"/>
      <c r="B76" s="18" t="s">
        <v>122</v>
      </c>
      <c r="C76" s="19">
        <f>COUNTIF(Consolidado!$V$9:$V$984,"Falla en la advertencia")</f>
        <v>0</v>
      </c>
      <c r="I76" s="9"/>
      <c r="K76" s="18" t="s">
        <v>134</v>
      </c>
      <c r="L76" s="19">
        <f>COUNTIF(Consolidado!$W$8:$W$984,"Herramientas, equipo o materiales defectuosos")</f>
        <v>0</v>
      </c>
      <c r="R76" s="9"/>
    </row>
    <row r="77" spans="1:31" ht="30" x14ac:dyDescent="0.25">
      <c r="A77" s="8"/>
      <c r="B77" s="18" t="s">
        <v>123</v>
      </c>
      <c r="C77" s="19">
        <f>COUNTIF(Consolidado!$V$9:$V$984,"Falla en asegurar")</f>
        <v>0</v>
      </c>
      <c r="I77" s="9"/>
      <c r="K77" s="18" t="s">
        <v>135</v>
      </c>
      <c r="L77" s="19">
        <f>COUNTIF(Consolidado!$W$8:$W$984,"Sistema de alarma inadecuado")</f>
        <v>0</v>
      </c>
      <c r="R77" s="9"/>
    </row>
    <row r="78" spans="1:31" ht="30" x14ac:dyDescent="0.25">
      <c r="A78" s="8"/>
      <c r="B78" s="18" t="s">
        <v>124</v>
      </c>
      <c r="C78" s="19">
        <f>COUNTIF(Consolidado!$V$9:$V$984,"Operación a velocidad inadecuada")</f>
        <v>0</v>
      </c>
      <c r="I78" s="9"/>
      <c r="K78" s="18" t="s">
        <v>136</v>
      </c>
      <c r="L78" s="19">
        <f>COUNTIF(Consolidado!$W$8:$W$984,"Peligro de incendio o explosión")</f>
        <v>0</v>
      </c>
      <c r="R78" s="9"/>
    </row>
    <row r="79" spans="1:31" ht="30" x14ac:dyDescent="0.25">
      <c r="A79" s="8"/>
      <c r="B79" s="18" t="s">
        <v>185</v>
      </c>
      <c r="C79" s="19">
        <f>COUNTIF(Consolidado!$V$9:$V$984,"Hacer inoperables los dispositivos de seguridad")</f>
        <v>0</v>
      </c>
      <c r="I79" s="9"/>
      <c r="K79" s="18" t="s">
        <v>137</v>
      </c>
      <c r="L79" s="19">
        <f>COUNTIF(Consolidado!$W$8:$W$984,"Temperaturas extremas")</f>
        <v>0</v>
      </c>
      <c r="R79" s="9"/>
    </row>
    <row r="80" spans="1:31" ht="30" x14ac:dyDescent="0.25">
      <c r="A80" s="8"/>
      <c r="B80" s="18" t="s">
        <v>125</v>
      </c>
      <c r="C80" s="19">
        <f>COUNTIF(Consolidado!$V$9:$V$984,"Uso de equipo defectuoso")</f>
        <v>0</v>
      </c>
      <c r="I80" s="9"/>
      <c r="K80" s="18" t="s">
        <v>138</v>
      </c>
      <c r="L80" s="19">
        <f>COUNTIF(Consolidado!$W$8:$W$984,"Parámetro anormal de procesos")</f>
        <v>0</v>
      </c>
      <c r="R80" s="9"/>
    </row>
    <row r="81" spans="1:18" x14ac:dyDescent="0.25">
      <c r="A81" s="8"/>
      <c r="B81" s="18" t="s">
        <v>126</v>
      </c>
      <c r="C81" s="19">
        <f>COUNTIF(Consolidado!$V$9:$V$984,"Cargar inadecuadamente")</f>
        <v>0</v>
      </c>
      <c r="I81" s="9"/>
      <c r="K81" s="18" t="s">
        <v>139</v>
      </c>
      <c r="L81" s="19">
        <f>COUNTIF(Consolidado!$W$8:$W$984,"Desbordamiento")</f>
        <v>0</v>
      </c>
      <c r="R81" s="9"/>
    </row>
    <row r="82" spans="1:18" ht="30" x14ac:dyDescent="0.25">
      <c r="A82" s="8"/>
      <c r="B82" s="18" t="s">
        <v>127</v>
      </c>
      <c r="C82" s="19">
        <f>COUNTIF(Consolidado!$V$9:$V$984,"Colocar inadecuadamente")</f>
        <v>0</v>
      </c>
      <c r="I82" s="9"/>
      <c r="K82" s="18" t="s">
        <v>186</v>
      </c>
      <c r="L82" s="19">
        <f>COUNTIF(Consolidado!$W$8:$W$984,"Equipo inadecuado o incorrecto")</f>
        <v>0</v>
      </c>
      <c r="R82" s="9"/>
    </row>
    <row r="83" spans="1:18" ht="30" x14ac:dyDescent="0.25">
      <c r="A83" s="8"/>
      <c r="B83" s="18" t="s">
        <v>187</v>
      </c>
      <c r="C83" s="19">
        <f>COUNTIF(Consolidado!$V$9:$V$984,"Elevación de carga inadecuada")</f>
        <v>0</v>
      </c>
      <c r="I83" s="9"/>
      <c r="K83" s="18" t="s">
        <v>140</v>
      </c>
      <c r="L83" s="19">
        <f>COUNTIF(Consolidado!$W$8:$W$984,"Congestión o acción restringida")</f>
        <v>0</v>
      </c>
      <c r="R83" s="9"/>
    </row>
    <row r="84" spans="1:18" ht="30" x14ac:dyDescent="0.25">
      <c r="A84" s="8"/>
      <c r="B84" s="18" t="s">
        <v>128</v>
      </c>
      <c r="C84" s="19">
        <f>COUNTIF(Consolidado!$V$9:$V$984,"Mantenimiento del equipo en operación")</f>
        <v>0</v>
      </c>
      <c r="I84" s="9"/>
      <c r="K84" s="18" t="s">
        <v>141</v>
      </c>
      <c r="L84" s="19">
        <f>COUNTIF(Consolidado!$W$8:$W$984,"Falta de aseo, desorden")</f>
        <v>0</v>
      </c>
      <c r="R84" s="9"/>
    </row>
    <row r="85" spans="1:18" x14ac:dyDescent="0.25">
      <c r="A85" s="8"/>
      <c r="B85" s="18" t="s">
        <v>129</v>
      </c>
      <c r="C85" s="19">
        <f>COUNTIF(Consolidado!$V$9:$V$984,"Juegos riesgosos")</f>
        <v>0</v>
      </c>
      <c r="I85" s="9"/>
      <c r="K85" s="18" t="s">
        <v>142</v>
      </c>
      <c r="L85" s="19">
        <f>COUNTIF(Consolidado!$W$8:$W$984,"Exposición a la radiación")</f>
        <v>0</v>
      </c>
      <c r="R85" s="9"/>
    </row>
    <row r="86" spans="1:18" ht="30" x14ac:dyDescent="0.25">
      <c r="A86" s="8"/>
      <c r="B86" s="18" t="s">
        <v>130</v>
      </c>
      <c r="C86" s="19">
        <f>COUNTIF(Consolidado!$V$9:$V$984,"Bajo influencia del alcohol / drogas")</f>
        <v>0</v>
      </c>
      <c r="I86" s="9"/>
      <c r="K86" s="18" t="s">
        <v>143</v>
      </c>
      <c r="L86" s="19">
        <f>COUNTIF(Consolidado!$W$8:$W$984,"Iluminación inadecuada o excesiva")</f>
        <v>0</v>
      </c>
      <c r="R86" s="9"/>
    </row>
    <row r="87" spans="1:18" x14ac:dyDescent="0.25">
      <c r="A87" s="8"/>
      <c r="B87" s="18" t="s">
        <v>131</v>
      </c>
      <c r="C87" s="19">
        <f>COUNTIF(Consolidado!$V$9:$V$984,"No usar EPP")</f>
        <v>0</v>
      </c>
      <c r="I87" s="9"/>
      <c r="K87" s="18" t="s">
        <v>144</v>
      </c>
      <c r="L87" s="19">
        <f>COUNTIF(Consolidado!$W$8:$W$984,"Ventilación inadecuada")</f>
        <v>0</v>
      </c>
      <c r="R87" s="9"/>
    </row>
    <row r="88" spans="1:18" ht="30" x14ac:dyDescent="0.25">
      <c r="A88" s="8"/>
      <c r="B88" s="18" t="s">
        <v>188</v>
      </c>
      <c r="C88" s="19">
        <f>COUNTIF(Consolidado!$V$9:$V$984,"Posición inadecuada para realizar la actividad")</f>
        <v>0</v>
      </c>
      <c r="I88" s="9"/>
      <c r="K88" s="18" t="s">
        <v>132</v>
      </c>
      <c r="L88" s="19">
        <f>COUNTIF(Consolidado!$W$8:$W$984,"No Aplica")</f>
        <v>0</v>
      </c>
      <c r="R88" s="9"/>
    </row>
    <row r="89" spans="1:18" x14ac:dyDescent="0.25">
      <c r="A89" s="8"/>
      <c r="B89" s="18" t="s">
        <v>132</v>
      </c>
      <c r="C89" s="19">
        <f>COUNTIF(Consolidado!$V$9:$V$984,"No Aplica")</f>
        <v>0</v>
      </c>
      <c r="I89" s="9"/>
      <c r="K89" s="19" t="s">
        <v>90</v>
      </c>
      <c r="L89" s="19">
        <f>SUM(L75:L88)</f>
        <v>0</v>
      </c>
      <c r="R89" s="9"/>
    </row>
    <row r="90" spans="1:18" x14ac:dyDescent="0.25">
      <c r="A90" s="8"/>
      <c r="B90" s="19" t="s">
        <v>90</v>
      </c>
      <c r="C90" s="19">
        <f>SUM(C75:C89)</f>
        <v>0</v>
      </c>
      <c r="I90" s="9"/>
      <c r="R90" s="9"/>
    </row>
    <row r="91" spans="1:18" ht="15.75" thickBot="1" x14ac:dyDescent="0.3">
      <c r="A91" s="10"/>
      <c r="B91" s="11"/>
      <c r="C91" s="11"/>
      <c r="D91" s="11"/>
      <c r="E91" s="11"/>
      <c r="F91" s="11"/>
      <c r="G91" s="11"/>
      <c r="H91" s="11"/>
      <c r="I91" s="12"/>
      <c r="J91" s="11"/>
      <c r="K91" s="11"/>
      <c r="L91" s="11"/>
      <c r="M91" s="11"/>
      <c r="N91" s="11"/>
      <c r="O91" s="11"/>
      <c r="P91" s="11"/>
      <c r="Q91" s="11"/>
      <c r="R91" s="12"/>
    </row>
    <row r="92" spans="1:18" ht="15.75" thickBot="1" x14ac:dyDescent="0.3"/>
    <row r="93" spans="1:18" ht="18.75" x14ac:dyDescent="0.25">
      <c r="A93" s="5"/>
      <c r="B93" s="143" t="s">
        <v>190</v>
      </c>
      <c r="C93" s="143"/>
      <c r="D93" s="143"/>
      <c r="E93" s="143"/>
      <c r="F93" s="143"/>
      <c r="G93" s="143"/>
      <c r="H93" s="143"/>
      <c r="I93" s="144"/>
      <c r="J93" s="143" t="s">
        <v>191</v>
      </c>
      <c r="K93" s="143"/>
      <c r="L93" s="143"/>
      <c r="M93" s="143"/>
      <c r="N93" s="143"/>
      <c r="O93" s="143"/>
      <c r="P93" s="143"/>
      <c r="Q93" s="143"/>
      <c r="R93" s="144"/>
    </row>
    <row r="94" spans="1:18" x14ac:dyDescent="0.25">
      <c r="A94" s="8"/>
      <c r="I94" s="9"/>
      <c r="R94" s="9"/>
    </row>
    <row r="95" spans="1:18" ht="30" x14ac:dyDescent="0.25">
      <c r="A95" s="8"/>
      <c r="B95" s="29" t="s">
        <v>189</v>
      </c>
      <c r="C95" s="29" t="s">
        <v>89</v>
      </c>
      <c r="I95" s="9"/>
      <c r="K95" s="29" t="s">
        <v>192</v>
      </c>
      <c r="L95" s="29" t="s">
        <v>89</v>
      </c>
      <c r="R95" s="9"/>
    </row>
    <row r="96" spans="1:18" ht="30" x14ac:dyDescent="0.25">
      <c r="A96" s="8"/>
      <c r="B96" s="18" t="s">
        <v>145</v>
      </c>
      <c r="C96" s="19">
        <f>COUNTIF(Consolidado!$X$9:$X$984,"Capacidad física inadecuada")</f>
        <v>0</v>
      </c>
      <c r="I96" s="9"/>
      <c r="K96" s="18" t="s">
        <v>152</v>
      </c>
      <c r="L96" s="19">
        <f>COUNTIF(Consolidado!$Y$9:$Y$984,"Liderazgo o supervisión inadecuados")</f>
        <v>0</v>
      </c>
      <c r="R96" s="9"/>
    </row>
    <row r="97" spans="1:22" ht="30" x14ac:dyDescent="0.25">
      <c r="A97" s="8"/>
      <c r="B97" s="18" t="s">
        <v>146</v>
      </c>
      <c r="C97" s="19">
        <f>COUNTIF(Consolidado!$X$9:$X$984,"Capacidad mental inadecuada")</f>
        <v>0</v>
      </c>
      <c r="I97" s="9"/>
      <c r="K97" s="18" t="s">
        <v>153</v>
      </c>
      <c r="L97" s="19">
        <f>COUNTIF(Consolidado!$Y$9:$Y$984,"Ingeniería inadecuada")</f>
        <v>0</v>
      </c>
      <c r="R97" s="9"/>
    </row>
    <row r="98" spans="1:22" x14ac:dyDescent="0.25">
      <c r="A98" s="8"/>
      <c r="B98" s="18" t="s">
        <v>147</v>
      </c>
      <c r="C98" s="19">
        <f>COUNTIF(Consolidado!$X$9:$X$984,"Falta de conocimiento")</f>
        <v>0</v>
      </c>
      <c r="I98" s="9"/>
      <c r="K98" s="18" t="s">
        <v>154</v>
      </c>
      <c r="L98" s="19">
        <f>COUNTIF(Consolidado!$Y$9:$Y$984,"Compras inadecuadas")</f>
        <v>0</v>
      </c>
      <c r="R98" s="9"/>
    </row>
    <row r="99" spans="1:22" x14ac:dyDescent="0.25">
      <c r="A99" s="8"/>
      <c r="B99" s="18" t="s">
        <v>148</v>
      </c>
      <c r="C99" s="19">
        <f>COUNTIF(Consolidado!$X$9:$X$984,"Falta de habilidad")</f>
        <v>0</v>
      </c>
      <c r="I99" s="9"/>
      <c r="K99" s="18" t="s">
        <v>155</v>
      </c>
      <c r="L99" s="19">
        <f>COUNTIF(Consolidado!$Y$9:$Y$984,"Mantenimiento inadecuado")</f>
        <v>0</v>
      </c>
      <c r="R99" s="9"/>
    </row>
    <row r="100" spans="1:22" ht="30" x14ac:dyDescent="0.25">
      <c r="A100" s="8"/>
      <c r="B100" s="18" t="s">
        <v>149</v>
      </c>
      <c r="C100" s="19">
        <f>COUNTIF(Consolidado!$X$9:$X$984,"Estrés físico")</f>
        <v>0</v>
      </c>
      <c r="I100" s="9"/>
      <c r="K100" s="18" t="s">
        <v>156</v>
      </c>
      <c r="L100" s="19">
        <f>COUNTIF(Consolidado!$Y$9:$Y$984,"Herramientas, equipo, materiales inadecuados")</f>
        <v>0</v>
      </c>
      <c r="R100" s="9"/>
    </row>
    <row r="101" spans="1:22" ht="30" x14ac:dyDescent="0.25">
      <c r="A101" s="8"/>
      <c r="B101" s="18" t="s">
        <v>150</v>
      </c>
      <c r="C101" s="19">
        <f>COUNTIF(Consolidado!$X$9:$X$984,"Estrés mental")</f>
        <v>0</v>
      </c>
      <c r="I101" s="9"/>
      <c r="K101" s="18" t="s">
        <v>157</v>
      </c>
      <c r="L101" s="19">
        <f>COUNTIF(Consolidado!$Y$9:$Y$984,"Estándares inadecuados de trabajo")</f>
        <v>0</v>
      </c>
      <c r="R101" s="9"/>
    </row>
    <row r="102" spans="1:22" x14ac:dyDescent="0.25">
      <c r="A102" s="8"/>
      <c r="B102" s="18" t="s">
        <v>151</v>
      </c>
      <c r="C102" s="19">
        <f>COUNTIF(Consolidado!$X$9:$X$984,"Motivación inadecuada")</f>
        <v>0</v>
      </c>
      <c r="I102" s="9"/>
      <c r="K102" s="18" t="s">
        <v>158</v>
      </c>
      <c r="L102" s="19">
        <f>COUNTIF(Consolidado!$Y$9:$Y$984,"Abuso o uso inadecuado")</f>
        <v>0</v>
      </c>
      <c r="R102" s="9"/>
    </row>
    <row r="103" spans="1:22" x14ac:dyDescent="0.25">
      <c r="A103" s="8"/>
      <c r="B103" s="18" t="s">
        <v>132</v>
      </c>
      <c r="C103" s="19">
        <f>COUNTIF(Consolidado!$X$9:$X$984,"No Aplica")</f>
        <v>0</v>
      </c>
      <c r="I103" s="9"/>
      <c r="K103" s="18" t="s">
        <v>159</v>
      </c>
      <c r="L103" s="19">
        <f>COUNTIF(Consolidado!$Y$9:$Y$984,"Uso y rotura")</f>
        <v>0</v>
      </c>
      <c r="R103" s="9"/>
    </row>
    <row r="104" spans="1:22" x14ac:dyDescent="0.25">
      <c r="A104" s="8"/>
      <c r="B104" s="19" t="s">
        <v>90</v>
      </c>
      <c r="C104" s="19">
        <f>SUM(C96:C103)</f>
        <v>0</v>
      </c>
      <c r="I104" s="9"/>
      <c r="K104" s="18" t="s">
        <v>132</v>
      </c>
      <c r="L104" s="19">
        <f>COUNTIF(Consolidado!$Y$9:$Y$984,"No Aplica")</f>
        <v>0</v>
      </c>
      <c r="R104" s="9"/>
    </row>
    <row r="105" spans="1:22" x14ac:dyDescent="0.25">
      <c r="A105" s="8"/>
      <c r="I105" s="9"/>
      <c r="K105" s="19" t="s">
        <v>90</v>
      </c>
      <c r="L105" s="19">
        <f>SUM(L96:L104)</f>
        <v>0</v>
      </c>
      <c r="R105" s="9"/>
    </row>
    <row r="106" spans="1:22" x14ac:dyDescent="0.25">
      <c r="A106" s="8"/>
      <c r="I106" s="9"/>
      <c r="R106" s="9"/>
    </row>
    <row r="107" spans="1:22" x14ac:dyDescent="0.25">
      <c r="A107" s="8"/>
      <c r="I107" s="9"/>
      <c r="R107" s="9"/>
    </row>
    <row r="108" spans="1:22" x14ac:dyDescent="0.25">
      <c r="A108" s="8"/>
      <c r="I108" s="9"/>
      <c r="R108" s="9"/>
    </row>
    <row r="109" spans="1:22" ht="15.75" x14ac:dyDescent="0.25">
      <c r="A109" s="8"/>
      <c r="I109" s="9"/>
      <c r="R109" s="9"/>
      <c r="U109" s="14"/>
      <c r="V109" s="14"/>
    </row>
    <row r="110" spans="1:22" ht="15.75" thickBot="1" x14ac:dyDescent="0.3"/>
    <row r="111" spans="1:22" ht="18.75" x14ac:dyDescent="0.25">
      <c r="A111" s="5"/>
      <c r="B111" s="143" t="s">
        <v>193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21"/>
    </row>
    <row r="112" spans="1:22" x14ac:dyDescent="0.25">
      <c r="A112" s="8"/>
      <c r="R112" s="9"/>
    </row>
    <row r="113" spans="1:18" x14ac:dyDescent="0.25">
      <c r="A113" s="8"/>
      <c r="B113" s="126" t="s">
        <v>193</v>
      </c>
      <c r="C113" s="126"/>
      <c r="D113" s="29" t="s">
        <v>89</v>
      </c>
      <c r="K113" s="20"/>
      <c r="L113" s="20"/>
      <c r="R113" s="9"/>
    </row>
    <row r="114" spans="1:18" x14ac:dyDescent="0.25">
      <c r="A114" s="8"/>
      <c r="B114" s="130" t="s">
        <v>160</v>
      </c>
      <c r="C114" s="130"/>
      <c r="D114" s="19">
        <f>COUNTIF(Consolidado!$Z$9:$Z$984,"Liderazgo y administración")</f>
        <v>0</v>
      </c>
      <c r="K114" s="13"/>
      <c r="R114" s="9"/>
    </row>
    <row r="115" spans="1:18" x14ac:dyDescent="0.25">
      <c r="A115" s="8"/>
      <c r="B115" s="130" t="s">
        <v>161</v>
      </c>
      <c r="C115" s="130"/>
      <c r="D115" s="19">
        <f>COUNTIF(Consolidado!$Z$9:$Z$984,"Formación de liderazgo")</f>
        <v>0</v>
      </c>
      <c r="K115" s="13"/>
      <c r="R115" s="9"/>
    </row>
    <row r="116" spans="1:18" x14ac:dyDescent="0.25">
      <c r="A116" s="8"/>
      <c r="B116" s="130" t="s">
        <v>162</v>
      </c>
      <c r="C116" s="130"/>
      <c r="D116" s="19">
        <f>COUNTIF(Consolidado!$Z$9:$Z$984,"Contratación y colocación")</f>
        <v>0</v>
      </c>
      <c r="K116" s="13"/>
      <c r="R116" s="9"/>
    </row>
    <row r="117" spans="1:18" x14ac:dyDescent="0.25">
      <c r="A117" s="8"/>
      <c r="B117" s="130" t="s">
        <v>163</v>
      </c>
      <c r="C117" s="130"/>
      <c r="D117" s="19">
        <f>COUNTIF(Consolidado!$Z$9:$Z$984,"Observaciones de actividades")</f>
        <v>0</v>
      </c>
      <c r="K117" s="13"/>
      <c r="R117" s="9"/>
    </row>
    <row r="118" spans="1:18" x14ac:dyDescent="0.25">
      <c r="A118" s="8"/>
      <c r="B118" s="130" t="s">
        <v>164</v>
      </c>
      <c r="C118" s="130"/>
      <c r="D118" s="19">
        <f>COUNTIF(Consolidado!$Z$9:$Z$984,"Preparación para emergencias")</f>
        <v>0</v>
      </c>
      <c r="K118" s="13"/>
      <c r="R118" s="9"/>
    </row>
    <row r="119" spans="1:18" x14ac:dyDescent="0.25">
      <c r="A119" s="8"/>
      <c r="B119" s="130" t="s">
        <v>165</v>
      </c>
      <c r="C119" s="130"/>
      <c r="D119" s="19">
        <f>COUNTIF(Consolidado!$Z$9:$Z$984,"Seguridad fuera del trabajo")</f>
        <v>0</v>
      </c>
      <c r="K119" s="13"/>
      <c r="R119" s="9"/>
    </row>
    <row r="120" spans="1:18" x14ac:dyDescent="0.25">
      <c r="A120" s="8"/>
      <c r="B120" s="130" t="s">
        <v>166</v>
      </c>
      <c r="C120" s="130"/>
      <c r="D120" s="19">
        <f>COUNTIF(Consolidado!$Z$9:$Z$984,"Análisis de accidentes / incidentes /impactos")</f>
        <v>0</v>
      </c>
      <c r="K120" s="13"/>
      <c r="R120" s="9"/>
    </row>
    <row r="121" spans="1:18" x14ac:dyDescent="0.25">
      <c r="A121" s="8"/>
      <c r="B121" s="130" t="s">
        <v>167</v>
      </c>
      <c r="C121" s="130"/>
      <c r="D121" s="19">
        <f>COUNTIF(Consolidado!$Z$9:$Z$984,"Aspectos e impactos ambientales")</f>
        <v>0</v>
      </c>
      <c r="K121" s="13"/>
      <c r="R121" s="9"/>
    </row>
    <row r="122" spans="1:18" x14ac:dyDescent="0.25">
      <c r="A122" s="8"/>
      <c r="B122" s="130" t="s">
        <v>168</v>
      </c>
      <c r="C122" s="130"/>
      <c r="D122" s="19">
        <f>COUNTIF(Consolidado!$Z$9:$Z$984,"Investigación de accidentes / incidentes  /impactos")</f>
        <v>0</v>
      </c>
      <c r="K122" s="13"/>
      <c r="R122" s="9"/>
    </row>
    <row r="123" spans="1:18" x14ac:dyDescent="0.25">
      <c r="A123" s="8"/>
      <c r="B123" s="130" t="s">
        <v>169</v>
      </c>
      <c r="C123" s="130"/>
      <c r="D123" s="19">
        <f>COUNTIF(Consolidado!$Z$9:$Z$984,"Equipo de protección personal")</f>
        <v>0</v>
      </c>
      <c r="K123" s="13"/>
      <c r="R123" s="9"/>
    </row>
    <row r="124" spans="1:18" x14ac:dyDescent="0.25">
      <c r="A124" s="8"/>
      <c r="B124" s="130" t="s">
        <v>170</v>
      </c>
      <c r="C124" s="130"/>
      <c r="D124" s="19">
        <f>COUNTIF(Consolidado!$Z$9:$Z$984,"Evaluación del sistema")</f>
        <v>0</v>
      </c>
      <c r="K124" s="13"/>
      <c r="R124" s="9"/>
    </row>
    <row r="125" spans="1:18" x14ac:dyDescent="0.25">
      <c r="A125" s="8"/>
      <c r="B125" s="130" t="s">
        <v>171</v>
      </c>
      <c r="C125" s="130"/>
      <c r="D125" s="19">
        <f>COUNTIF(Consolidado!$Z$9:$Z$984,"Análisis critico de actividades")</f>
        <v>0</v>
      </c>
      <c r="K125" s="13"/>
      <c r="R125" s="9"/>
    </row>
    <row r="126" spans="1:18" x14ac:dyDescent="0.25">
      <c r="A126" s="8"/>
      <c r="B126" s="130" t="s">
        <v>172</v>
      </c>
      <c r="C126" s="130"/>
      <c r="D126" s="19">
        <f>COUNTIF(Consolidado!$Z$9:$Z$984,"Comunicaciones personales")</f>
        <v>0</v>
      </c>
      <c r="K126" s="13"/>
      <c r="R126" s="9"/>
    </row>
    <row r="127" spans="1:18" x14ac:dyDescent="0.25">
      <c r="A127" s="8"/>
      <c r="B127" s="130" t="s">
        <v>173</v>
      </c>
      <c r="C127" s="130"/>
      <c r="D127" s="19">
        <f>COUNTIF(Consolidado!$Z$9:$Z$984,"Reglas y permisos de trabajo")</f>
        <v>0</v>
      </c>
      <c r="K127" s="13"/>
      <c r="R127" s="9"/>
    </row>
    <row r="128" spans="1:18" x14ac:dyDescent="0.25">
      <c r="A128" s="8"/>
      <c r="B128" s="130" t="s">
        <v>174</v>
      </c>
      <c r="C128" s="130"/>
      <c r="D128" s="19">
        <f>COUNTIF(Consolidado!$Z$9:$Z$984,"Programa medio ambiental")</f>
        <v>0</v>
      </c>
      <c r="K128" s="13"/>
      <c r="R128" s="9"/>
    </row>
    <row r="129" spans="1:18" x14ac:dyDescent="0.25">
      <c r="A129" s="8"/>
      <c r="B129" s="130" t="s">
        <v>175</v>
      </c>
      <c r="C129" s="130"/>
      <c r="D129" s="19">
        <f>COUNTIF(Consolidado!$Z$9:$Z$984,"Conocimientos y capacitación técnica")</f>
        <v>0</v>
      </c>
      <c r="K129" s="13"/>
      <c r="R129" s="9"/>
    </row>
    <row r="130" spans="1:18" x14ac:dyDescent="0.25">
      <c r="A130" s="8"/>
      <c r="B130" s="130" t="s">
        <v>176</v>
      </c>
      <c r="C130" s="130"/>
      <c r="D130" s="19">
        <f>COUNTIF(Consolidado!$Z$9:$Z$984,"Inspecciones y mantenimiento planificados")</f>
        <v>0</v>
      </c>
      <c r="K130" s="13"/>
      <c r="R130" s="9"/>
    </row>
    <row r="131" spans="1:18" x14ac:dyDescent="0.25">
      <c r="A131" s="8"/>
      <c r="B131" s="130" t="s">
        <v>177</v>
      </c>
      <c r="C131" s="130"/>
      <c r="D131" s="19">
        <f>COUNTIF(Consolidado!$Z$9:$Z$984,"Monitoreo y evaluación del rendimiento")</f>
        <v>0</v>
      </c>
      <c r="K131" s="13"/>
      <c r="R131" s="9"/>
    </row>
    <row r="132" spans="1:18" x14ac:dyDescent="0.25">
      <c r="A132" s="8"/>
      <c r="B132" s="130" t="s">
        <v>178</v>
      </c>
      <c r="C132" s="130"/>
      <c r="D132" s="19">
        <f>COUNTIF(Consolidado!$Z$9:$Z$984,"Control de salud e higiene")</f>
        <v>0</v>
      </c>
      <c r="K132" s="13"/>
      <c r="R132" s="9"/>
    </row>
    <row r="133" spans="1:18" x14ac:dyDescent="0.25">
      <c r="A133" s="8"/>
      <c r="B133" s="130" t="s">
        <v>179</v>
      </c>
      <c r="C133" s="130"/>
      <c r="D133" s="19">
        <f>COUNTIF(Consolidado!$Z$9:$Z$984,"Promoción general")</f>
        <v>0</v>
      </c>
      <c r="K133" s="13"/>
      <c r="R133" s="9"/>
    </row>
    <row r="134" spans="1:18" x14ac:dyDescent="0.25">
      <c r="A134" s="8"/>
      <c r="B134" s="130" t="s">
        <v>180</v>
      </c>
      <c r="C134" s="130"/>
      <c r="D134" s="19">
        <f>COUNTIF(Consolidado!$Z$9:$Z$984,"Ingeniería /gestión de cambios")</f>
        <v>0</v>
      </c>
      <c r="K134" s="13"/>
      <c r="R134" s="9"/>
    </row>
    <row r="135" spans="1:18" x14ac:dyDescent="0.25">
      <c r="A135" s="8"/>
      <c r="B135" s="130" t="s">
        <v>181</v>
      </c>
      <c r="C135" s="130"/>
      <c r="D135" s="19">
        <f>COUNTIF(Consolidado!$Z$9:$Z$984,"Comunicaciones grupales")</f>
        <v>0</v>
      </c>
      <c r="K135" s="13"/>
      <c r="R135" s="9"/>
    </row>
    <row r="136" spans="1:18" x14ac:dyDescent="0.25">
      <c r="A136" s="8"/>
      <c r="B136" s="130" t="s">
        <v>182</v>
      </c>
      <c r="C136" s="130"/>
      <c r="D136" s="19">
        <f>COUNTIF(Consolidado!$Z$9:$Z$984,"Gestión de materiales y servicio")</f>
        <v>0</v>
      </c>
      <c r="K136" s="13"/>
      <c r="R136" s="9"/>
    </row>
    <row r="137" spans="1:18" x14ac:dyDescent="0.25">
      <c r="A137" s="8"/>
      <c r="B137" s="130" t="s">
        <v>183</v>
      </c>
      <c r="C137" s="130"/>
      <c r="D137" s="19">
        <f>COUNTIF(Consolidado!$Z$9:$Z$984,"Relaciones con externos")</f>
        <v>0</v>
      </c>
      <c r="K137" s="13"/>
      <c r="R137" s="9"/>
    </row>
    <row r="138" spans="1:18" x14ac:dyDescent="0.25">
      <c r="A138" s="8"/>
      <c r="B138" s="130" t="s">
        <v>132</v>
      </c>
      <c r="C138" s="130"/>
      <c r="D138" s="19">
        <f>COUNTIF(Consolidado!$Z$9:$Z$984,"No Aplica")</f>
        <v>0</v>
      </c>
      <c r="K138" s="13"/>
      <c r="R138" s="9"/>
    </row>
    <row r="139" spans="1:18" x14ac:dyDescent="0.25">
      <c r="A139" s="8"/>
      <c r="B139" s="130" t="s">
        <v>90</v>
      </c>
      <c r="C139" s="130"/>
      <c r="D139" s="19">
        <f>SUM(D114:D138)</f>
        <v>0</v>
      </c>
      <c r="R139" s="9"/>
    </row>
    <row r="140" spans="1:18" ht="15.75" thickBot="1" x14ac:dyDescent="0.3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</row>
    <row r="141" spans="1:18" ht="15.75" thickBot="1" x14ac:dyDescent="0.3"/>
    <row r="142" spans="1:18" x14ac:dyDescent="0.2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7"/>
    </row>
    <row r="143" spans="1:18" s="14" customFormat="1" ht="15.75" x14ac:dyDescent="0.25">
      <c r="A143" s="15"/>
      <c r="B143" s="142" t="s">
        <v>92</v>
      </c>
      <c r="C143" s="142"/>
      <c r="D143" s="142"/>
      <c r="E143" s="142" t="s">
        <v>232</v>
      </c>
      <c r="F143" s="142"/>
      <c r="G143" s="142"/>
      <c r="H143" s="142"/>
      <c r="I143" s="142"/>
      <c r="J143" s="142"/>
      <c r="K143" s="142"/>
      <c r="L143" s="142"/>
      <c r="M143" s="142" t="s">
        <v>96</v>
      </c>
      <c r="N143" s="142"/>
      <c r="O143" s="142"/>
      <c r="P143" s="142" t="s">
        <v>97</v>
      </c>
      <c r="Q143" s="142"/>
      <c r="R143" s="16"/>
    </row>
    <row r="144" spans="1:18" ht="53.25" customHeight="1" x14ac:dyDescent="0.25">
      <c r="A144" s="8"/>
      <c r="B144" s="126" t="s">
        <v>237</v>
      </c>
      <c r="C144" s="126"/>
      <c r="D144" s="126"/>
      <c r="E144" s="132" t="s">
        <v>241</v>
      </c>
      <c r="F144" s="133"/>
      <c r="G144" s="133"/>
      <c r="H144" s="133"/>
      <c r="I144" s="133"/>
      <c r="J144" s="133"/>
      <c r="K144" s="133"/>
      <c r="L144" s="134"/>
      <c r="M144" s="130" t="s">
        <v>226</v>
      </c>
      <c r="N144" s="130"/>
      <c r="O144" s="130"/>
      <c r="P144" s="138">
        <v>44771</v>
      </c>
      <c r="Q144" s="139"/>
      <c r="R144" s="9"/>
    </row>
    <row r="145" spans="1:18" ht="53.25" customHeight="1" x14ac:dyDescent="0.25">
      <c r="A145" s="8"/>
      <c r="B145" s="126" t="s">
        <v>238</v>
      </c>
      <c r="C145" s="126"/>
      <c r="D145" s="126"/>
      <c r="E145" s="135"/>
      <c r="F145" s="136"/>
      <c r="G145" s="136"/>
      <c r="H145" s="136"/>
      <c r="I145" s="136"/>
      <c r="J145" s="136"/>
      <c r="K145" s="136"/>
      <c r="L145" s="137"/>
      <c r="M145" s="130" t="s">
        <v>226</v>
      </c>
      <c r="N145" s="130"/>
      <c r="O145" s="130"/>
      <c r="P145" s="140"/>
      <c r="Q145" s="141"/>
      <c r="R145" s="9"/>
    </row>
    <row r="146" spans="1:18" x14ac:dyDescent="0.25">
      <c r="A146" s="8"/>
      <c r="B146" s="126" t="s">
        <v>239</v>
      </c>
      <c r="C146" s="126"/>
      <c r="D146" s="126"/>
      <c r="E146" s="127"/>
      <c r="F146" s="128"/>
      <c r="G146" s="128"/>
      <c r="H146" s="128"/>
      <c r="I146" s="128"/>
      <c r="J146" s="128"/>
      <c r="K146" s="128"/>
      <c r="L146" s="129"/>
      <c r="M146" s="130"/>
      <c r="N146" s="130"/>
      <c r="O146" s="130"/>
      <c r="P146" s="131"/>
      <c r="Q146" s="130"/>
      <c r="R146" s="9"/>
    </row>
    <row r="147" spans="1:18" x14ac:dyDescent="0.25">
      <c r="A147" s="8"/>
      <c r="B147" s="126" t="s">
        <v>240</v>
      </c>
      <c r="C147" s="126"/>
      <c r="D147" s="126"/>
      <c r="E147" s="127"/>
      <c r="F147" s="128"/>
      <c r="G147" s="128"/>
      <c r="H147" s="128"/>
      <c r="I147" s="128"/>
      <c r="J147" s="128"/>
      <c r="K147" s="128"/>
      <c r="L147" s="129"/>
      <c r="M147" s="130"/>
      <c r="N147" s="130"/>
      <c r="O147" s="130"/>
      <c r="P147" s="131"/>
      <c r="Q147" s="130"/>
      <c r="R147" s="9"/>
    </row>
    <row r="148" spans="1:18" ht="15.75" thickBot="1" x14ac:dyDescent="0.3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2"/>
    </row>
  </sheetData>
  <mergeCells count="59">
    <mergeCell ref="B33:I33"/>
    <mergeCell ref="J33:R33"/>
    <mergeCell ref="D1:M4"/>
    <mergeCell ref="B7:I7"/>
    <mergeCell ref="J7:R7"/>
    <mergeCell ref="B15:I15"/>
    <mergeCell ref="J15:R15"/>
    <mergeCell ref="B51:I51"/>
    <mergeCell ref="J51:R51"/>
    <mergeCell ref="B72:I72"/>
    <mergeCell ref="J72:R72"/>
    <mergeCell ref="B93:I93"/>
    <mergeCell ref="J93:R93"/>
    <mergeCell ref="B123:C123"/>
    <mergeCell ref="B111:Q111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35:C135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M143:O143"/>
    <mergeCell ref="P143:Q143"/>
    <mergeCell ref="B144:D144"/>
    <mergeCell ref="M144:O144"/>
    <mergeCell ref="B136:C136"/>
    <mergeCell ref="B137:C137"/>
    <mergeCell ref="B138:C138"/>
    <mergeCell ref="B139:C139"/>
    <mergeCell ref="B143:D143"/>
    <mergeCell ref="E143:L143"/>
    <mergeCell ref="B147:D147"/>
    <mergeCell ref="E147:L147"/>
    <mergeCell ref="M147:O147"/>
    <mergeCell ref="P147:Q147"/>
    <mergeCell ref="E144:L145"/>
    <mergeCell ref="P144:Q145"/>
    <mergeCell ref="B145:D145"/>
    <mergeCell ref="M145:O145"/>
    <mergeCell ref="B146:D146"/>
    <mergeCell ref="E146:L146"/>
    <mergeCell ref="M146:O146"/>
    <mergeCell ref="P146:Q146"/>
  </mergeCells>
  <pageMargins left="0.78740157480314965" right="0.78740157480314965" top="0.78740157480314965" bottom="0.78740157480314965" header="0" footer="0.39370078740157483"/>
  <pageSetup scale="48" orientation="landscape" r:id="rId1"/>
  <headerFooter>
    <oddFooter>&amp;C&amp;G&amp;R&amp;P de &amp;N</oddFooter>
  </headerFooter>
  <rowBreaks count="3" manualBreakCount="3">
    <brk id="50" max="16383" man="1"/>
    <brk id="92" max="16383" man="1"/>
    <brk id="139" max="17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0"/>
  <dimension ref="A2:Y26"/>
  <sheetViews>
    <sheetView topLeftCell="M1" workbookViewId="0">
      <selection activeCell="AI28" sqref="AI28"/>
    </sheetView>
  </sheetViews>
  <sheetFormatPr baseColWidth="10" defaultRowHeight="15" x14ac:dyDescent="0.25"/>
  <cols>
    <col min="3" max="3" width="29.85546875" bestFit="1" customWidth="1"/>
    <col min="4" max="4" width="49.85546875" bestFit="1" customWidth="1"/>
    <col min="5" max="5" width="34.42578125" bestFit="1" customWidth="1"/>
    <col min="7" max="7" width="12.140625" bestFit="1" customWidth="1"/>
    <col min="8" max="8" width="17" customWidth="1"/>
    <col min="11" max="11" width="20.42578125" customWidth="1"/>
  </cols>
  <sheetData>
    <row r="2" spans="1:25" x14ac:dyDescent="0.25">
      <c r="A2" t="s">
        <v>7</v>
      </c>
      <c r="B2" t="s">
        <v>91</v>
      </c>
      <c r="C2" t="s">
        <v>17</v>
      </c>
      <c r="D2" t="s">
        <v>54</v>
      </c>
      <c r="E2" t="s">
        <v>29</v>
      </c>
      <c r="F2" t="s">
        <v>46</v>
      </c>
      <c r="G2" t="s">
        <v>56</v>
      </c>
      <c r="H2" s="2" t="s">
        <v>63</v>
      </c>
      <c r="I2" t="s">
        <v>77</v>
      </c>
      <c r="K2" t="s">
        <v>121</v>
      </c>
      <c r="N2" t="s">
        <v>133</v>
      </c>
      <c r="R2" t="s">
        <v>145</v>
      </c>
      <c r="U2" t="s">
        <v>152</v>
      </c>
      <c r="Y2" t="s">
        <v>160</v>
      </c>
    </row>
    <row r="3" spans="1:25" ht="30" x14ac:dyDescent="0.25">
      <c r="A3" t="s">
        <v>15</v>
      </c>
      <c r="B3" t="s">
        <v>16</v>
      </c>
      <c r="C3" t="s">
        <v>18</v>
      </c>
      <c r="D3" t="s">
        <v>22</v>
      </c>
      <c r="E3" t="s">
        <v>30</v>
      </c>
      <c r="F3" t="s">
        <v>47</v>
      </c>
      <c r="G3" t="s">
        <v>57</v>
      </c>
      <c r="H3" s="2" t="s">
        <v>64</v>
      </c>
      <c r="I3" t="s">
        <v>78</v>
      </c>
      <c r="K3" t="s">
        <v>122</v>
      </c>
      <c r="N3" t="s">
        <v>134</v>
      </c>
      <c r="R3" t="s">
        <v>146</v>
      </c>
      <c r="U3" t="s">
        <v>153</v>
      </c>
      <c r="Y3" t="s">
        <v>161</v>
      </c>
    </row>
    <row r="4" spans="1:25" x14ac:dyDescent="0.25">
      <c r="C4" t="s">
        <v>19</v>
      </c>
      <c r="D4" t="s">
        <v>24</v>
      </c>
      <c r="E4" t="s">
        <v>31</v>
      </c>
      <c r="F4" t="s">
        <v>48</v>
      </c>
      <c r="G4" t="s">
        <v>58</v>
      </c>
      <c r="H4" s="2" t="s">
        <v>184</v>
      </c>
      <c r="I4" t="s">
        <v>79</v>
      </c>
      <c r="K4" t="s">
        <v>123</v>
      </c>
      <c r="N4" t="s">
        <v>135</v>
      </c>
      <c r="R4" t="s">
        <v>147</v>
      </c>
      <c r="U4" t="s">
        <v>154</v>
      </c>
      <c r="Y4" t="s">
        <v>162</v>
      </c>
    </row>
    <row r="5" spans="1:25" x14ac:dyDescent="0.25">
      <c r="C5" t="s">
        <v>20</v>
      </c>
      <c r="D5" t="s">
        <v>25</v>
      </c>
      <c r="E5" t="s">
        <v>32</v>
      </c>
      <c r="F5" t="s">
        <v>49</v>
      </c>
      <c r="H5" s="2" t="s">
        <v>65</v>
      </c>
      <c r="I5" t="s">
        <v>80</v>
      </c>
      <c r="K5" t="s">
        <v>124</v>
      </c>
      <c r="N5" t="s">
        <v>136</v>
      </c>
      <c r="R5" t="s">
        <v>148</v>
      </c>
      <c r="U5" t="s">
        <v>155</v>
      </c>
      <c r="Y5" t="s">
        <v>163</v>
      </c>
    </row>
    <row r="6" spans="1:25" x14ac:dyDescent="0.25">
      <c r="C6" t="s">
        <v>21</v>
      </c>
      <c r="D6" t="s">
        <v>55</v>
      </c>
      <c r="E6" t="s">
        <v>33</v>
      </c>
      <c r="F6" t="s">
        <v>50</v>
      </c>
      <c r="H6" s="2" t="s">
        <v>66</v>
      </c>
      <c r="I6" t="s">
        <v>81</v>
      </c>
      <c r="K6" t="s">
        <v>185</v>
      </c>
      <c r="N6" t="s">
        <v>137</v>
      </c>
      <c r="R6" t="s">
        <v>149</v>
      </c>
      <c r="U6" t="s">
        <v>156</v>
      </c>
      <c r="Y6" t="s">
        <v>164</v>
      </c>
    </row>
    <row r="7" spans="1:25" x14ac:dyDescent="0.25">
      <c r="D7" t="s">
        <v>23</v>
      </c>
      <c r="E7" t="s">
        <v>34</v>
      </c>
      <c r="F7" t="s">
        <v>6</v>
      </c>
      <c r="H7" s="2" t="s">
        <v>67</v>
      </c>
      <c r="I7" t="s">
        <v>82</v>
      </c>
      <c r="K7" t="s">
        <v>125</v>
      </c>
      <c r="N7" t="s">
        <v>138</v>
      </c>
      <c r="R7" t="s">
        <v>150</v>
      </c>
      <c r="U7" t="s">
        <v>157</v>
      </c>
      <c r="Y7" t="s">
        <v>165</v>
      </c>
    </row>
    <row r="8" spans="1:25" x14ac:dyDescent="0.25">
      <c r="D8" t="s">
        <v>194</v>
      </c>
      <c r="E8" t="s">
        <v>35</v>
      </c>
      <c r="F8" t="s">
        <v>51</v>
      </c>
      <c r="H8" s="2" t="s">
        <v>68</v>
      </c>
      <c r="I8" t="s">
        <v>83</v>
      </c>
      <c r="K8" t="s">
        <v>126</v>
      </c>
      <c r="N8" t="s">
        <v>139</v>
      </c>
      <c r="R8" t="s">
        <v>151</v>
      </c>
      <c r="U8" t="s">
        <v>158</v>
      </c>
      <c r="Y8" t="s">
        <v>166</v>
      </c>
    </row>
    <row r="9" spans="1:25" x14ac:dyDescent="0.25">
      <c r="D9" t="s">
        <v>26</v>
      </c>
      <c r="E9" t="s">
        <v>36</v>
      </c>
      <c r="H9" s="2" t="s">
        <v>69</v>
      </c>
      <c r="I9" t="s">
        <v>84</v>
      </c>
      <c r="K9" t="s">
        <v>127</v>
      </c>
      <c r="N9" t="s">
        <v>186</v>
      </c>
      <c r="R9" t="s">
        <v>132</v>
      </c>
      <c r="U9" t="s">
        <v>159</v>
      </c>
      <c r="Y9" t="s">
        <v>167</v>
      </c>
    </row>
    <row r="10" spans="1:25" x14ac:dyDescent="0.25">
      <c r="D10" t="s">
        <v>27</v>
      </c>
      <c r="E10" t="s">
        <v>37</v>
      </c>
      <c r="H10" s="3" t="s">
        <v>70</v>
      </c>
      <c r="I10" t="s">
        <v>85</v>
      </c>
      <c r="K10" t="s">
        <v>187</v>
      </c>
      <c r="N10" t="s">
        <v>140</v>
      </c>
      <c r="U10" t="s">
        <v>132</v>
      </c>
      <c r="Y10" t="s">
        <v>168</v>
      </c>
    </row>
    <row r="11" spans="1:25" x14ac:dyDescent="0.25">
      <c r="D11" t="s">
        <v>28</v>
      </c>
      <c r="E11" t="s">
        <v>38</v>
      </c>
      <c r="H11" s="2" t="s">
        <v>71</v>
      </c>
      <c r="I11" t="s">
        <v>86</v>
      </c>
      <c r="K11" t="s">
        <v>128</v>
      </c>
      <c r="N11" t="s">
        <v>141</v>
      </c>
      <c r="Y11" t="s">
        <v>169</v>
      </c>
    </row>
    <row r="12" spans="1:25" x14ac:dyDescent="0.25">
      <c r="E12" t="s">
        <v>52</v>
      </c>
      <c r="H12" s="2" t="s">
        <v>72</v>
      </c>
      <c r="I12" t="s">
        <v>87</v>
      </c>
      <c r="K12" t="s">
        <v>129</v>
      </c>
      <c r="N12" t="s">
        <v>142</v>
      </c>
      <c r="Y12" t="s">
        <v>170</v>
      </c>
    </row>
    <row r="13" spans="1:25" ht="30" x14ac:dyDescent="0.25">
      <c r="E13" t="s">
        <v>39</v>
      </c>
      <c r="H13" s="2" t="s">
        <v>73</v>
      </c>
      <c r="I13" t="s">
        <v>88</v>
      </c>
      <c r="K13" t="s">
        <v>130</v>
      </c>
      <c r="N13" t="s">
        <v>143</v>
      </c>
      <c r="Y13" t="s">
        <v>171</v>
      </c>
    </row>
    <row r="14" spans="1:25" x14ac:dyDescent="0.25">
      <c r="E14" t="s">
        <v>40</v>
      </c>
      <c r="K14" t="s">
        <v>131</v>
      </c>
      <c r="N14" t="s">
        <v>144</v>
      </c>
      <c r="Y14" t="s">
        <v>172</v>
      </c>
    </row>
    <row r="15" spans="1:25" x14ac:dyDescent="0.25">
      <c r="E15" t="s">
        <v>53</v>
      </c>
      <c r="K15" t="s">
        <v>188</v>
      </c>
      <c r="N15" t="s">
        <v>132</v>
      </c>
      <c r="Y15" t="s">
        <v>173</v>
      </c>
    </row>
    <row r="16" spans="1:25" x14ac:dyDescent="0.25">
      <c r="E16" t="s">
        <v>41</v>
      </c>
      <c r="K16" t="s">
        <v>132</v>
      </c>
      <c r="Y16" t="s">
        <v>174</v>
      </c>
    </row>
    <row r="17" spans="25:25" x14ac:dyDescent="0.25">
      <c r="Y17" t="s">
        <v>175</v>
      </c>
    </row>
    <row r="18" spans="25:25" x14ac:dyDescent="0.25">
      <c r="Y18" t="s">
        <v>176</v>
      </c>
    </row>
    <row r="19" spans="25:25" x14ac:dyDescent="0.25">
      <c r="Y19" t="s">
        <v>177</v>
      </c>
    </row>
    <row r="20" spans="25:25" x14ac:dyDescent="0.25">
      <c r="Y20" t="s">
        <v>178</v>
      </c>
    </row>
    <row r="21" spans="25:25" x14ac:dyDescent="0.25">
      <c r="Y21" t="s">
        <v>179</v>
      </c>
    </row>
    <row r="22" spans="25:25" x14ac:dyDescent="0.25">
      <c r="Y22" t="s">
        <v>180</v>
      </c>
    </row>
    <row r="23" spans="25:25" x14ac:dyDescent="0.25">
      <c r="Y23" t="s">
        <v>181</v>
      </c>
    </row>
    <row r="24" spans="25:25" x14ac:dyDescent="0.25">
      <c r="Y24" t="s">
        <v>182</v>
      </c>
    </row>
    <row r="25" spans="25:25" x14ac:dyDescent="0.25">
      <c r="Y25" t="s">
        <v>183</v>
      </c>
    </row>
    <row r="26" spans="25:25" x14ac:dyDescent="0.25">
      <c r="Y26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16</vt:i4>
      </vt:variant>
    </vt:vector>
  </HeadingPairs>
  <TitlesOfParts>
    <vt:vector size="21" baseType="lpstr">
      <vt:lpstr>Ind Accidentalidad</vt:lpstr>
      <vt:lpstr>Consolidado</vt:lpstr>
      <vt:lpstr>Instructivo-Consolidado</vt:lpstr>
      <vt:lpstr>Analisis</vt:lpstr>
      <vt:lpstr>LISTAS</vt:lpstr>
      <vt:lpstr>actossub</vt:lpstr>
      <vt:lpstr>Analisis!Área_de_impresión</vt:lpstr>
      <vt:lpstr>CLASIFICACIÓN</vt:lpstr>
      <vt:lpstr>CONDICIONAL</vt:lpstr>
      <vt:lpstr>condicionessub</vt:lpstr>
      <vt:lpstr>CUERPO</vt:lpstr>
      <vt:lpstr>DIAS</vt:lpstr>
      <vt:lpstr>ESTADO</vt:lpstr>
      <vt:lpstr>factoresper</vt:lpstr>
      <vt:lpstr>factorsis</vt:lpstr>
      <vt:lpstr>faltacontrol</vt:lpstr>
      <vt:lpstr>LOCACIÓN</vt:lpstr>
      <vt:lpstr>MES</vt:lpstr>
      <vt:lpstr>PELIGRO</vt:lpstr>
      <vt:lpstr>SEXO</vt:lpstr>
      <vt:lpstr>Analisis!Títulos_a_imprimir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iyrubiano</dc:creator>
  <cp:lastModifiedBy>Diana Vargas</cp:lastModifiedBy>
  <cp:lastPrinted>2022-12-13T22:05:51Z</cp:lastPrinted>
  <dcterms:created xsi:type="dcterms:W3CDTF">2013-06-13T23:59:07Z</dcterms:created>
  <dcterms:modified xsi:type="dcterms:W3CDTF">2022-12-15T22:41:40Z</dcterms:modified>
</cp:coreProperties>
</file>